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keezix/Library/CloudStorage/GoogleDrive-ateichman@gmail.com/My Drive/ SM Committee (Allan)/Timesheets/2024-2027/v6 PEI update/"/>
    </mc:Choice>
  </mc:AlternateContent>
  <xr:revisionPtr revIDLastSave="0" documentId="13_ncr:1_{40EA9F2A-E352-5243-AB2B-B91BB4C5B918}" xr6:coauthVersionLast="47" xr6:coauthVersionMax="47" xr10:uidLastSave="{00000000-0000-0000-0000-000000000000}"/>
  <workbookProtection workbookAlgorithmName="SHA-512" workbookHashValue="omTYbBIoYakQrD6rRGcXJKPsPysiwvbViVmpshXe2OCHkYLRAub2H8Djc6fqLKPOpmo41cxksLTD/rrT4azegg==" workbookSaltValue="38rpmBozFgLYyxFYqOAX1Q==" workbookSpinCount="100000" lockStructure="1"/>
  <bookViews>
    <workbookView xWindow="1840" yWindow="620" windowWidth="35700" windowHeight="20980" xr2:uid="{D179FA62-F719-2343-B589-3297FED18F4C}"/>
  </bookViews>
  <sheets>
    <sheet name="Timesheet" sheetId="1" r:id="rId1"/>
    <sheet name="Instructions" sheetId="4" r:id="rId2"/>
    <sheet name="Contract Rates" sheetId="3" r:id="rId3"/>
  </sheets>
  <definedNames>
    <definedName name="ARTIST">Timesheet!$C$3</definedName>
    <definedName name="COMPANY">Timesheet!$C$1</definedName>
    <definedName name="CTA_adjust">Timesheet!$N$70</definedName>
    <definedName name="Daily_Total_OT">SUM(Timesheet!$N$10:$N$11,Timesheet!$N$18:$N$19,Timesheet!$N$26:$N$27,Timesheet!$N$34:$N$35,Timesheet!$N$42:$N$43,Timesheet!$N$50:$N$51,Timesheet!$N$58:$N$59)</definedName>
    <definedName name="Double_First">'Contract Rates'!$D$8</definedName>
    <definedName name="Double_Subs">'Contract Rates'!$D$9</definedName>
    <definedName name="EmergFreeRate">'Contract Rates'!$D$37</definedName>
    <definedName name="F_Total">Timesheet!$I$74</definedName>
    <definedName name="FreeRate">'Contract Rates'!$D$32</definedName>
    <definedName name="Friday_all_OT_Hours">SUMIF(Friday_Codes,"O",Friday_OTP_Hours) + SUMIF(Friday_Codes,"T1",Friday_OTP_Hours) + SUMIF(Friday_Codes,"T2N",Friday_OTP_Hours) + SUMIF(Friday_Codes,"T3",Friday_OTP_Hours)</definedName>
    <definedName name="Friday_all_OT_Payments">SUMIF(Friday_Codes,"O",Friday_Payments) + SUMIF(Friday_Codes,"T1",Friday_Payments) + SUMIF(Friday_Codes,"T2N",Friday_Payments) + SUMIF(Friday_Codes,"T3",Friday_Payments)</definedName>
    <definedName name="Friday_Codes">Timesheet!$G$39:$G$46</definedName>
    <definedName name="Friday_Daily_XS">CEILING(SUM(Timesheet!$N$40:$N$41),0.5)</definedName>
    <definedName name="Friday_Hours">Timesheet!$F$39:$F$46</definedName>
    <definedName name="Friday_OTP_Hours">Timesheet!$H$39:$H$46</definedName>
    <definedName name="Friday_Payments">Timesheet!$I$39:$I$46</definedName>
    <definedName name="Gross_ESA">Timesheet!$N$69</definedName>
    <definedName name="Hours_worked">Timesheet!$F$63</definedName>
    <definedName name="M_Paid">Timesheet!$H$72</definedName>
    <definedName name="M_Total">Timesheet!$I$72</definedName>
    <definedName name="Monday_all_OT_Hours">SUMIF(Monday_Codes,"O",Monday_OTP_Hours) + SUMIF(Monday_Codes,"T1",Monday_OTP_Hours) + SUMIF(Monday_Codes,"T2N",Monday_OTP_Hours) + SUMIF(Monday_Codes,"T3",Monday_OTP_Hours)</definedName>
    <definedName name="Monday_all_OT_Payments">SUMIF(Monday_Codes,"O",Monday_Payments) + SUMIF(Monday_Codes,"T1",Monday_Payments) + SUMIF(Monday_Codes,"T2N",Monday_Payments) + SUMIF(Monday_Codes,"T3",Monday_Payments)</definedName>
    <definedName name="Monday_Codes">Timesheet!$G$7:$G$14</definedName>
    <definedName name="Monday_Daily_XS">CEILING(SUM(Timesheet!$N$8:$N$9),0.5)</definedName>
    <definedName name="Monday_Hours">Timesheet!$F$7:$F$14</definedName>
    <definedName name="Monday_OTP_Hours">Timesheet!$H$7:$H$14</definedName>
    <definedName name="Monday_Payments">Timesheet!$I$7:$I$14</definedName>
    <definedName name="N_Total">Timesheet!$I$73</definedName>
    <definedName name="ON_first">'Contract Rates'!$D$28</definedName>
    <definedName name="ON_subs">'Contract Rates'!$D$29</definedName>
    <definedName name="OT_P_paid">Timesheet!$H$66</definedName>
    <definedName name="OT_P_Total">Timesheet!$I$66</definedName>
    <definedName name="Parameters">#REF!</definedName>
    <definedName name="PerfPerfRate_first">'Contract Rates'!$D$20</definedName>
    <definedName name="PerfPerfRate_subs">'Contract Rates'!$D$21</definedName>
    <definedName name="_xlnm.Print_Area" localSheetId="0">Timesheet!$A$1:$O$79</definedName>
    <definedName name="Province">Timesheet!$J$1:$J$1</definedName>
    <definedName name="PtoP_Paid">Timesheet!$H$71</definedName>
    <definedName name="PtoP_Total">Timesheet!$I$71</definedName>
    <definedName name="Reg_First">'Contract Rates'!$D$4</definedName>
    <definedName name="Reg_Subs">'Contract Rates'!$D$5</definedName>
    <definedName name="RehPerfRate_1">'Contract Rates'!$D$15</definedName>
    <definedName name="RehPerfRate_2">'Contract Rates'!$D$16</definedName>
    <definedName name="RehPerfRate_3">'Contract Rates'!$D$17</definedName>
    <definedName name="RepPerfRate_1">'Contract Rates'!$D$15</definedName>
    <definedName name="RepPerfRate_2">'Contract Rates'!$D$16</definedName>
    <definedName name="RepPerfRate_3">'Contract Rates'!$D$17</definedName>
    <definedName name="RtoP_Paid">Timesheet!$H$70</definedName>
    <definedName name="RtoP_Total">Timesheet!$I$70</definedName>
    <definedName name="Saturday_all_OT_Hours">SUMIF(Saturday_Codes,"O",Saturday_OTP_Hours) + SUMIF(Saturday_Codes,"T1",Saturday_OTP_Hours) + SUMIF(Saturday_Codes,"T2N",Saturday_OTP_Hours) + SUMIF(Saturday_Codes,"T3",Saturday_OTP_Hours)</definedName>
    <definedName name="Saturday_all_OT_Payments">SUMIF(Saturday_Codes,"O",Saturday_Payments) + SUMIF(Saturday_Codes,"T1",Saturday_Payments) + SUMIF(Saturday_Codes,"T2N",Saturday_Payments) + SUMIF(Saturday_Codes,"T3",Saturday_Payments)</definedName>
    <definedName name="Saturday_Codes">Timesheet!$G$47:$G$54</definedName>
    <definedName name="Saturday_Daily_XS">CEILING(SUM(Timesheet!$N$48:$N$49),0.5)</definedName>
    <definedName name="Saturday_Hours">Timesheet!$F$47:$F$54</definedName>
    <definedName name="Saturday_OTP_Hours">Timesheet!$H$47:$H$54</definedName>
    <definedName name="Saturday_Payments">Timesheet!$I$47:$I$54</definedName>
    <definedName name="Span_paid">Timesheet!$H$67</definedName>
    <definedName name="Span_Total">Timesheet!$I$67</definedName>
    <definedName name="SpanRate">'Contract Rates'!$D$12</definedName>
    <definedName name="Sunday_all_OT_Hours">SUMIF(Sunday_Codes,"O",Sunday_OTP_Hours) + SUMIF(Sunday_Codes,"T1",Sunday_OTP_Hours) + SUMIF(Sunday_Codes,"T2N",Sunday_OTP_Hours) + SUMIF(Sunday_Codes,"T3",Sunday_OTP_Hours)</definedName>
    <definedName name="Sunday_all_OT_Payments">SUMIF(Sunday_Codes,"O",Sunday_Payments) + SUMIF(Sunday_Codes,"T1",Sunday_Payments) + SUMIF(Sunday_Codes,"T2N",Sunday_Payments) + SUMIF(Sunday_Codes,"T3",Sunday_Payments)</definedName>
    <definedName name="Sunday_Codes">Timesheet!$G$55:$G$62</definedName>
    <definedName name="Sunday_Daily_XS">CEILING(SUM(Timesheet!$N$56:$N$57),0.5)</definedName>
    <definedName name="Sunday_Hours">Timesheet!$F$55:$F$62</definedName>
    <definedName name="Sunday_OTP_Hours">Timesheet!$H$55:$H$62</definedName>
    <definedName name="Sunday_Payments">Timesheet!$I$55:$I$62</definedName>
    <definedName name="Thursday_all_OT_Hours">SUMIF(Thursday_Codes,"O",Thursday_OTP_Hours) + SUMIF(Thursday_Codes,"T1",Thursday_OTP_Hours) + SUMIF(Thursday_Codes,"T2N",Thursday_OTP_Hours) + SUMIF(Thursday_Codes,"T3",Thursday_OTP_Hours)</definedName>
    <definedName name="Thursday_all_OT_Payments">SUMIF(Thursday_Codes,"O",Thursday_Payments) + SUMIF(Thursday_Codes,"T1",Thursday_Payments) + SUMIF(Thursday_Codes,"T2N",Thursday_Payments) + SUMIF(Thursday_Codes,"T3",Thursday_Payments)</definedName>
    <definedName name="Thursday_Codes">Timesheet!$G$31:$G$38</definedName>
    <definedName name="Thursday_Daily_XS">CEILING(SUM(Timesheet!$N$32:$N$33),0.5)</definedName>
    <definedName name="Thursday_Hours">Timesheet!$F$31:$F$38</definedName>
    <definedName name="Thursday_OTP_Hours">Timesheet!$H$31:$H$38</definedName>
    <definedName name="Thursday_Payments">Timesheet!$I$31:$I$38</definedName>
    <definedName name="Total_Daily_XS">SUM(Timesheet!$N$8,Timesheet!$N$9,Timesheet!$N$16,Timesheet!$N$17,Timesheet!$N$24,Timesheet!$N$25,Timesheet!$N$32,Timesheet!$N$33,Timesheet!$N$40,Timesheet!$N$41,Timesheet!$N$48,Timesheet!$N$49,Timesheet!$N$56,Timesheet!$N$57)</definedName>
    <definedName name="Travel_Total">Timesheet!$I$68</definedName>
    <definedName name="Tuesday_all_OT_Hours">SUMIF(Tuesday_Codes,"O",Tuesday_OTP_Hours) + SUMIF(Tuesday_Codes,"T1",Tuesday_OTP_Hours) + SUMIF(Tuesday_Codes,"T2N",Tuesday_OTP_Hours) + SUMIF(Tuesday_Codes,"T3",Tuesday_OTP_Hours)</definedName>
    <definedName name="Tuesday_all_OT_Payments">SUMIF(Tuesday_Codes,"O",Tuesday_Payments) + SUMIF(Tuesday_Codes,"T1",Tuesday_Payments) + SUMIF(Tuesday_Codes,"T2N",Tuesday_Payments) + SUMIF(Tuesday_Codes,"T3",Tuesday_Payments)</definedName>
    <definedName name="Tuesday_Codes">Timesheet!$G$15:$G$22</definedName>
    <definedName name="Tuesday_Daily_XS">CEILING(SUM(Timesheet!$N$16:$N$17),0.5)</definedName>
    <definedName name="Tuesday_Hours">Timesheet!$F$15:$F$22</definedName>
    <definedName name="Tuesday_OTP_Hours">Timesheet!$H$15:$H$22</definedName>
    <definedName name="Tuesday_Payments">Timesheet!$I$15:$I$22</definedName>
    <definedName name="TYA">Timesheet!$J$3</definedName>
    <definedName name="Wednesday_all_OT_Hours">SUMIF(Wednesday_Codes,"O",Wednesday_OTP_Hours) + SUMIF(Wednesday_Codes,"T1",Wednesday_OTP_Hours) + SUMIF(Wednesday_Codes,"T2N",Wednesday_OTP_Hours) + SUMIF(Wednesday_Codes,"T3",Wednesday_OTP_Hours)</definedName>
    <definedName name="Wednesday_all_OT_Payments">SUMIF(Wednesday_Codes,"O",Wednesday_Payments) + SUMIF(Wednesday_Codes,"T1",Wednesday_Payments) + SUMIF(Wednesday_Codes,"T2N",Wednesday_Payments) + SUMIF(Wednesday_Codes,"T3",Wednesday_Payments)</definedName>
    <definedName name="Wednesday_Codes">Timesheet!$G$23:$G$30</definedName>
    <definedName name="Wednesday_Daily_XS">CEILING(SUM(Timesheet!$N$24:$N$25),0.5)</definedName>
    <definedName name="Wednesday_Hours">Timesheet!$F$23:$F$30</definedName>
    <definedName name="Wednesday_OTP_Hours">Timesheet!$H$23:$H$30</definedName>
    <definedName name="Wednesday_Payments">Timesheet!$I$23:$I$30</definedName>
    <definedName name="Weekly_Threshold">VLOOKUP(Province,Parameters,6)</definedName>
    <definedName name="Weekly_Total">SUM(Timesheet!$N$7,Timesheet!$N$15,Timesheet!$N$23,Timesheet!$N$31,Timesheet!$N$39,Timesheet!$N$47,Timesheet!$N$55)</definedName>
    <definedName name="Weekly_Total_OT">Timesheet!$N$67</definedName>
    <definedName name="Weekly_XS">Timesheet!$N$66</definedName>
    <definedName name="WeeklyFee">Timesheet!$J$2:$J$2</definedName>
    <definedName name="Z_4DA624B5_9423_9C4A_BFD6_ABBAF707F93F_.wvu.PrintArea" localSheetId="0" hidden="1">Timesheet!$B$1:$I$79</definedName>
  </definedNames>
  <calcPr calcId="191029"/>
  <customWorkbookViews>
    <customWorkbookView name="Allan Teichman - Personal View" guid="{4DA624B5-9423-9C4A-BFD6-ABBAF707F93F}" mergeInterval="0" personalView="1" yWindow="23" windowWidth="1718" windowHeight="877" tabRatio="580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2" i="1" l="1" a="1"/>
  <c r="I61" i="1" a="1"/>
  <c r="I60" i="1" a="1"/>
  <c r="I59" i="1" a="1"/>
  <c r="I58" i="1" a="1"/>
  <c r="I57" i="1" a="1"/>
  <c r="I56" i="1" a="1"/>
  <c r="I55" i="1" a="1"/>
  <c r="I54" i="1" a="1"/>
  <c r="I53" i="1" a="1"/>
  <c r="I52" i="1" a="1"/>
  <c r="I51" i="1" a="1"/>
  <c r="I50" i="1" a="1"/>
  <c r="I49" i="1" a="1"/>
  <c r="I48" i="1" a="1"/>
  <c r="I47" i="1" a="1"/>
  <c r="I46" i="1" a="1"/>
  <c r="I45" i="1" a="1"/>
  <c r="I44" i="1" a="1"/>
  <c r="I43" i="1" a="1"/>
  <c r="I42" i="1" a="1"/>
  <c r="I41" i="1" a="1"/>
  <c r="I40" i="1" a="1"/>
  <c r="I39" i="1" a="1"/>
  <c r="I38" i="1" a="1"/>
  <c r="I37" i="1" a="1"/>
  <c r="I36" i="1" a="1"/>
  <c r="I35" i="1" a="1"/>
  <c r="I34" i="1" a="1"/>
  <c r="I33" i="1" a="1"/>
  <c r="I32" i="1" a="1"/>
  <c r="I31" i="1" a="1"/>
  <c r="I30" i="1" a="1"/>
  <c r="I29" i="1" a="1"/>
  <c r="I28" i="1" a="1"/>
  <c r="I27" i="1" a="1"/>
  <c r="I26" i="1" a="1"/>
  <c r="I25" i="1" a="1"/>
  <c r="I24" i="1" a="1"/>
  <c r="I23" i="1" a="1"/>
  <c r="I22" i="1" a="1"/>
  <c r="I21" i="1" a="1"/>
  <c r="I20" i="1" a="1"/>
  <c r="I19" i="1" a="1"/>
  <c r="I18" i="1" a="1"/>
  <c r="I17" i="1" a="1"/>
  <c r="I16" i="1" a="1"/>
  <c r="I15" i="1" a="1"/>
  <c r="I14" i="1" a="1"/>
  <c r="I13" i="1" a="1"/>
  <c r="I12" i="1" a="1"/>
  <c r="I11" i="1" a="1"/>
  <c r="I10" i="1" a="1"/>
  <c r="I9" i="1" a="1"/>
  <c r="I8" i="1" a="1"/>
  <c r="I7" i="1" a="1"/>
  <c r="D25" i="3"/>
  <c r="D24" i="3"/>
  <c r="J25" i="3"/>
  <c r="L25" i="3"/>
  <c r="K25" i="3"/>
  <c r="L24" i="3"/>
  <c r="K24" i="3"/>
  <c r="J24" i="3"/>
  <c r="K4" i="1"/>
  <c r="M2" i="1" a="1"/>
  <c r="M3" i="1" a="1"/>
  <c r="D37" i="3"/>
  <c r="D32" i="3"/>
  <c r="D29" i="3"/>
  <c r="D28" i="3"/>
  <c r="D21" i="3"/>
  <c r="D20" i="3"/>
  <c r="D17" i="3"/>
  <c r="D16" i="3"/>
  <c r="D15" i="3"/>
  <c r="D12" i="3"/>
  <c r="D9" i="3"/>
  <c r="D8" i="3"/>
  <c r="D5" i="3"/>
  <c r="D4" i="3"/>
  <c r="F62" i="1" l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H73" i="1" l="1"/>
  <c r="H68" i="1"/>
  <c r="E68" i="1"/>
  <c r="E73" i="1"/>
  <c r="K34" i="1"/>
  <c r="K35" i="1"/>
  <c r="K33" i="1"/>
  <c r="I73" i="1" l="1"/>
  <c r="I68" i="1" l="1"/>
  <c r="K30" i="1"/>
  <c r="K32" i="1" l="1"/>
  <c r="K29" i="1"/>
  <c r="K27" i="1"/>
  <c r="K31" i="1"/>
  <c r="K28" i="1"/>
  <c r="H74" i="1" l="1"/>
  <c r="H72" i="1"/>
  <c r="H71" i="1"/>
  <c r="H70" i="1"/>
  <c r="I74" i="1"/>
  <c r="B75" i="1" s="1"/>
  <c r="I71" i="1"/>
  <c r="I70" i="1"/>
  <c r="H67" i="1"/>
  <c r="H66" i="1"/>
  <c r="I67" i="1"/>
  <c r="I72" i="1" l="1"/>
  <c r="I66" i="1" l="1"/>
  <c r="I77" i="1" l="1"/>
  <c r="B7" i="1"/>
  <c r="B16" i="1"/>
  <c r="B24" i="1" s="1"/>
  <c r="J8" i="1" l="1"/>
  <c r="J12" i="1"/>
  <c r="J16" i="1"/>
  <c r="J20" i="1"/>
  <c r="J24" i="1"/>
  <c r="J28" i="1"/>
  <c r="J32" i="1"/>
  <c r="J36" i="1"/>
  <c r="J40" i="1"/>
  <c r="J44" i="1"/>
  <c r="J48" i="1"/>
  <c r="J52" i="1"/>
  <c r="J56" i="1"/>
  <c r="J60" i="1"/>
  <c r="J9" i="1"/>
  <c r="J13" i="1"/>
  <c r="J17" i="1"/>
  <c r="J21" i="1"/>
  <c r="J25" i="1"/>
  <c r="J29" i="1"/>
  <c r="J33" i="1"/>
  <c r="J37" i="1"/>
  <c r="J41" i="1"/>
  <c r="J45" i="1"/>
  <c r="J49" i="1"/>
  <c r="J53" i="1"/>
  <c r="J57" i="1"/>
  <c r="J61" i="1"/>
  <c r="J15" i="1"/>
  <c r="J19" i="1"/>
  <c r="J23" i="1"/>
  <c r="J31" i="1"/>
  <c r="J39" i="1"/>
  <c r="J47" i="1"/>
  <c r="J55" i="1"/>
  <c r="J7" i="1"/>
  <c r="J10" i="1"/>
  <c r="J14" i="1"/>
  <c r="J18" i="1"/>
  <c r="J26" i="1"/>
  <c r="J30" i="1"/>
  <c r="J34" i="1"/>
  <c r="J38" i="1"/>
  <c r="J42" i="1"/>
  <c r="J46" i="1"/>
  <c r="J50" i="1"/>
  <c r="J54" i="1"/>
  <c r="J58" i="1"/>
  <c r="J62" i="1"/>
  <c r="J11" i="1"/>
  <c r="J27" i="1"/>
  <c r="J35" i="1"/>
  <c r="J43" i="1"/>
  <c r="J51" i="1"/>
  <c r="J59" i="1"/>
  <c r="B15" i="1"/>
  <c r="F63" i="1"/>
  <c r="B32" i="1"/>
  <c r="B23" i="1"/>
  <c r="B31" i="1" l="1"/>
  <c r="B40" i="1"/>
  <c r="I63" i="1" l="1"/>
  <c r="B48" i="1"/>
  <c r="B39" i="1"/>
  <c r="I75" i="1" l="1"/>
  <c r="I79" i="1" s="1"/>
  <c r="B56" i="1"/>
  <c r="B47" i="1"/>
  <c r="B55" i="1" l="1"/>
  <c r="C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<sst xmlns="http://schemas.openxmlformats.org/spreadsheetml/2006/main" count="118" uniqueCount="97">
  <si>
    <t>Exceeding maximum performances (week/3-day/daily)</t>
    <phoneticPr fontId="3"/>
  </si>
  <si>
    <t>Code</t>
  </si>
  <si>
    <t>Work Hours</t>
  </si>
  <si>
    <t>Exceeding Max. Performances in week/3-day/day</t>
  </si>
  <si>
    <t>R</t>
  </si>
  <si>
    <t>Regular Overtime (Additional Services Rate)</t>
  </si>
  <si>
    <t>COMPANY:</t>
  </si>
  <si>
    <t>FOR WEEK OF:</t>
  </si>
  <si>
    <t>Date</t>
  </si>
  <si>
    <t>Activity</t>
  </si>
  <si>
    <t>Hours</t>
  </si>
  <si>
    <t>Amount</t>
  </si>
  <si>
    <t>Start</t>
  </si>
  <si>
    <t>End</t>
  </si>
  <si>
    <t>TOTALS</t>
  </si>
  <si>
    <t>First 1/2 hour</t>
  </si>
  <si>
    <t>Subsequent 1/2 hours</t>
  </si>
  <si>
    <t>Double Additional Services Rate</t>
  </si>
  <si>
    <t>Subsequent hour(s)</t>
  </si>
  <si>
    <t>Subsequent 1/2 hour(s)</t>
  </si>
  <si>
    <t>Second 1/2 hour</t>
  </si>
  <si>
    <t>Third 1/2 hour</t>
  </si>
  <si>
    <t>Excess of Span</t>
  </si>
  <si>
    <t>Each half hour</t>
  </si>
  <si>
    <t>codes</t>
  </si>
  <si>
    <t>M-Meal</t>
  </si>
  <si>
    <t>Overtime</t>
  </si>
  <si>
    <t>Regular Overtime</t>
  </si>
  <si>
    <t>Invasion of Meal Break</t>
  </si>
  <si>
    <t>Invasion of Break between Rehearsal and Performance</t>
  </si>
  <si>
    <t>Invasion of Free Day</t>
  </si>
  <si>
    <t>S-Span</t>
  </si>
  <si>
    <t>Penalty</t>
  </si>
  <si>
    <t>F-Free Day</t>
  </si>
  <si>
    <t>Meal Break Infringement</t>
  </si>
  <si>
    <t>Invasion of Break between rehearsal and performance</t>
  </si>
  <si>
    <t>Overnight Rest Break Infringement</t>
  </si>
  <si>
    <t>Free Day Infringement</t>
  </si>
  <si>
    <t>Hourly</t>
  </si>
  <si>
    <t>Invasion of Break between performances</t>
  </si>
  <si>
    <t>OT/P Hours</t>
  </si>
  <si>
    <t>S</t>
  </si>
  <si>
    <t>M</t>
  </si>
  <si>
    <t>Invasion of Break between Performances</t>
  </si>
  <si>
    <t>O</t>
  </si>
  <si>
    <t>F</t>
  </si>
  <si>
    <t>Notes</t>
  </si>
  <si>
    <t>P-Perf/Perf</t>
  </si>
  <si>
    <t>P</t>
  </si>
  <si>
    <t>TOTAL</t>
  </si>
  <si>
    <t>O-Regular</t>
  </si>
  <si>
    <t>R-Reh/Perf</t>
  </si>
  <si>
    <t>N-Overnight</t>
  </si>
  <si>
    <t>Misc. (specify)</t>
  </si>
  <si>
    <t>ARTIST:</t>
  </si>
  <si>
    <t>Miscellaneous Summary</t>
  </si>
  <si>
    <t xml:space="preserve"> # of Extra shows&gt;</t>
  </si>
  <si>
    <t>Emp. #</t>
    <phoneticPr fontId="3"/>
  </si>
  <si>
    <t>SUBTOTAL</t>
    <phoneticPr fontId="3"/>
  </si>
  <si>
    <t>2/8 weekly salary each</t>
    <phoneticPr fontId="3"/>
  </si>
  <si>
    <t>E-Emerg. Reh.</t>
  </si>
  <si>
    <t>on Free Day</t>
  </si>
  <si>
    <t>a</t>
  </si>
  <si>
    <t>b</t>
  </si>
  <si>
    <t>Emergency Rehearsal on Free Day</t>
  </si>
  <si>
    <t>Line 6</t>
  </si>
  <si>
    <t>c</t>
  </si>
  <si>
    <t>Line 7</t>
  </si>
  <si>
    <t>(greater of:</t>
  </si>
  <si>
    <t>a min. 4 hr. call or 1/7 weekly fee)</t>
  </si>
  <si>
    <t>Line 1</t>
  </si>
  <si>
    <t>Line 2</t>
  </si>
  <si>
    <t>Line 5</t>
  </si>
  <si>
    <t>Line 4</t>
  </si>
  <si>
    <t>No</t>
  </si>
  <si>
    <t>FEE:</t>
  </si>
  <si>
    <t>CTA/ITA Overtime Summary</t>
  </si>
  <si>
    <t>CTA/ITA Penalty Summary</t>
  </si>
  <si>
    <t>TYA?</t>
  </si>
  <si>
    <t>Excess Travel Time</t>
  </si>
  <si>
    <t>T1-Excess Trav</t>
  </si>
  <si>
    <t>Travel overtime</t>
  </si>
  <si>
    <t>Excess Span of Day</t>
  </si>
  <si>
    <t>  (General)</t>
  </si>
  <si>
    <t>Invasion of Overnight Rest Break (including travel)</t>
  </si>
  <si>
    <t>See the instructions tab for…instructions.</t>
  </si>
  <si>
    <t>start date</t>
  </si>
  <si>
    <t>end date</t>
  </si>
  <si>
    <t>Active rates
applying to the week
covered by this timesheet</t>
  </si>
  <si>
    <t>CONTRACTUAL OVERTIME &amp; PENALTIES</t>
  </si>
  <si>
    <t>Rates table for
Sector 1 theatres under the 
ITA for 2024-2027</t>
  </si>
  <si>
    <t>63:18(E)</t>
  </si>
  <si>
    <t>63:18(F)</t>
  </si>
  <si>
    <t>  (49:01 (E))</t>
  </si>
  <si>
    <t>SELF-EMPLOYMENT UNDER ITA</t>
  </si>
  <si>
    <t>Subsequent 1/2 hour</t>
  </si>
  <si>
    <t>v. 2024.6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</si>
</sst>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164" formatCode="dddd"/>
    <numFmt numFmtId="165" formatCode="&quot;$&quot;#,##0.00"/>
    <numFmt numFmtId="166" formatCode="0.0"/>
    <numFmt numFmtId="167" formatCode=";;;"/>
    <numFmt numFmtId="168" formatCode="mmm\ dd"/>
  </numFmts>
  <fonts count="41" x14ac:knownFonts="1">
    <font>
      <sz val="9"/>
      <name val="Geneva"/>
    </font>
    <font>
      <sz val="9"/>
      <name val="Geneva"/>
      <family val="2"/>
    </font>
    <font>
      <sz val="9"/>
      <name val="Arial"/>
      <family val="2"/>
    </font>
    <font>
      <sz val="8"/>
      <name val="Verdana"/>
      <family val="2"/>
    </font>
    <font>
      <b/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color indexed="10"/>
      <name val="Arial"/>
      <family val="2"/>
    </font>
    <font>
      <b/>
      <sz val="9"/>
      <color indexed="10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7"/>
      <name val="Calibri"/>
      <family val="2"/>
    </font>
    <font>
      <sz val="11"/>
      <color indexed="14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9"/>
      <name val="Geneva"/>
      <family val="2"/>
    </font>
    <font>
      <b/>
      <sz val="9"/>
      <color rgb="FFFF0000"/>
      <name val="Geneva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12"/>
      <color rgb="FFFF0000"/>
      <name val="Arial"/>
      <family val="2"/>
    </font>
    <font>
      <sz val="10"/>
      <color rgb="FFFF0000"/>
      <name val="Geneva"/>
      <family val="2"/>
    </font>
    <font>
      <sz val="9"/>
      <color rgb="FFFF0000"/>
      <name val="Geneva"/>
      <family val="2"/>
    </font>
    <font>
      <b/>
      <sz val="10"/>
      <color rgb="FFFF0000"/>
      <name val="Geneva"/>
      <family val="2"/>
    </font>
    <font>
      <b/>
      <sz val="9"/>
      <name val="Geneva"/>
      <family val="2"/>
    </font>
    <font>
      <sz val="8"/>
      <name val="Geneva"/>
      <family val="2"/>
    </font>
  </fonts>
  <fills count="2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4" borderId="0" applyNumberFormat="0" applyBorder="0" applyAlignment="0" applyProtection="0"/>
    <xf numFmtId="0" fontId="28" fillId="7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5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6" borderId="0" applyNumberFormat="0" applyBorder="0" applyAlignment="0" applyProtection="0"/>
    <xf numFmtId="0" fontId="27" fillId="8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10" borderId="0" applyNumberFormat="0" applyBorder="0" applyAlignment="0" applyProtection="0"/>
    <xf numFmtId="0" fontId="27" fillId="12" borderId="0" applyNumberFormat="0" applyBorder="0" applyAlignment="0" applyProtection="0"/>
    <xf numFmtId="0" fontId="27" fillId="6" borderId="0" applyNumberFormat="0" applyBorder="0" applyAlignment="0" applyProtection="0"/>
    <xf numFmtId="0" fontId="27" fillId="13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17" fillId="14" borderId="0" applyNumberFormat="0" applyBorder="0" applyAlignment="0" applyProtection="0"/>
    <xf numFmtId="0" fontId="21" fillId="4" borderId="30" applyNumberFormat="0" applyAlignment="0" applyProtection="0"/>
    <xf numFmtId="0" fontId="23" fillId="15" borderId="31" applyNumberFormat="0" applyAlignment="0" applyProtection="0"/>
    <xf numFmtId="44" fontId="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16" borderId="0" applyNumberFormat="0" applyBorder="0" applyAlignment="0" applyProtection="0"/>
    <xf numFmtId="0" fontId="13" fillId="0" borderId="32" applyNumberFormat="0" applyFill="0" applyAlignment="0" applyProtection="0"/>
    <xf numFmtId="0" fontId="14" fillId="0" borderId="33" applyNumberFormat="0" applyFill="0" applyAlignment="0" applyProtection="0"/>
    <xf numFmtId="0" fontId="15" fillId="0" borderId="34" applyNumberFormat="0" applyFill="0" applyAlignment="0" applyProtection="0"/>
    <xf numFmtId="0" fontId="15" fillId="0" borderId="0" applyNumberFormat="0" applyFill="0" applyBorder="0" applyAlignment="0" applyProtection="0"/>
    <xf numFmtId="0" fontId="19" fillId="5" borderId="30" applyNumberFormat="0" applyAlignment="0" applyProtection="0"/>
    <xf numFmtId="0" fontId="22" fillId="0" borderId="35" applyNumberFormat="0" applyFill="0" applyAlignment="0" applyProtection="0"/>
    <xf numFmtId="0" fontId="18" fillId="17" borderId="0" applyNumberFormat="0" applyBorder="0" applyAlignment="0" applyProtection="0"/>
    <xf numFmtId="0" fontId="1" fillId="18" borderId="36" applyNumberFormat="0" applyFont="0" applyAlignment="0" applyProtection="0"/>
    <xf numFmtId="0" fontId="20" fillId="4" borderId="37" applyNumberFormat="0" applyAlignment="0" applyProtection="0"/>
    <xf numFmtId="0" fontId="12" fillId="0" borderId="0" applyNumberFormat="0" applyFill="0" applyBorder="0" applyAlignment="0" applyProtection="0"/>
    <xf numFmtId="0" fontId="26" fillId="0" borderId="38" applyNumberFormat="0" applyFill="0" applyAlignment="0" applyProtection="0"/>
    <xf numFmtId="0" fontId="24" fillId="0" borderId="0" applyNumberFormat="0" applyFill="0" applyBorder="0" applyAlignment="0" applyProtection="0"/>
  </cellStyleXfs>
  <cellXfs count="192">
    <xf numFmtId="0" fontId="0" fillId="0" borderId="0" xfId="0"/>
    <xf numFmtId="0" fontId="5" fillId="0" borderId="6" xfId="0" applyFont="1" applyBorder="1" applyAlignment="1" applyProtection="1">
      <alignment horizontal="center"/>
      <protection locked="0"/>
    </xf>
    <xf numFmtId="164" fontId="5" fillId="0" borderId="7" xfId="0" applyNumberFormat="1" applyFont="1" applyBorder="1" applyAlignment="1" applyProtection="1">
      <alignment horizontal="left"/>
      <protection hidden="1"/>
    </xf>
    <xf numFmtId="0" fontId="5" fillId="0" borderId="8" xfId="0" applyFont="1" applyBorder="1" applyProtection="1">
      <protection locked="0"/>
    </xf>
    <xf numFmtId="0" fontId="5" fillId="0" borderId="10" xfId="0" applyFont="1" applyBorder="1" applyAlignment="1" applyProtection="1">
      <alignment horizontal="center"/>
      <protection locked="0"/>
    </xf>
    <xf numFmtId="166" fontId="5" fillId="0" borderId="8" xfId="0" applyNumberFormat="1" applyFont="1" applyBorder="1" applyAlignment="1" applyProtection="1">
      <alignment horizontal="right"/>
      <protection locked="0"/>
    </xf>
    <xf numFmtId="2" fontId="5" fillId="2" borderId="8" xfId="0" applyNumberFormat="1" applyFont="1" applyFill="1" applyBorder="1" applyAlignment="1" applyProtection="1">
      <alignment horizontal="right"/>
      <protection hidden="1"/>
    </xf>
    <xf numFmtId="0" fontId="5" fillId="0" borderId="11" xfId="0" applyFont="1" applyBorder="1" applyProtection="1">
      <protection locked="0"/>
    </xf>
    <xf numFmtId="20" fontId="5" fillId="0" borderId="11" xfId="0" applyNumberFormat="1" applyFont="1" applyBorder="1" applyProtection="1">
      <protection locked="0"/>
    </xf>
    <xf numFmtId="166" fontId="5" fillId="0" borderId="11" xfId="0" applyNumberFormat="1" applyFont="1" applyBorder="1" applyAlignment="1" applyProtection="1">
      <alignment horizontal="right"/>
      <protection locked="0"/>
    </xf>
    <xf numFmtId="0" fontId="5" fillId="0" borderId="4" xfId="0" applyFont="1" applyBorder="1" applyProtection="1">
      <protection locked="0"/>
    </xf>
    <xf numFmtId="20" fontId="5" fillId="0" borderId="4" xfId="0" applyNumberFormat="1" applyFont="1" applyBorder="1" applyProtection="1">
      <protection locked="0"/>
    </xf>
    <xf numFmtId="166" fontId="5" fillId="0" borderId="4" xfId="0" applyNumberFormat="1" applyFont="1" applyBorder="1" applyAlignment="1" applyProtection="1">
      <alignment horizontal="right"/>
      <protection locked="0"/>
    </xf>
    <xf numFmtId="2" fontId="5" fillId="2" borderId="4" xfId="0" applyNumberFormat="1" applyFont="1" applyFill="1" applyBorder="1" applyAlignment="1" applyProtection="1">
      <alignment horizontal="right"/>
      <protection hidden="1"/>
    </xf>
    <xf numFmtId="0" fontId="5" fillId="0" borderId="15" xfId="0" applyFont="1" applyBorder="1" applyAlignment="1" applyProtection="1">
      <alignment horizontal="center"/>
      <protection locked="0"/>
    </xf>
    <xf numFmtId="2" fontId="9" fillId="2" borderId="14" xfId="0" applyNumberFormat="1" applyFont="1" applyFill="1" applyBorder="1" applyAlignment="1" applyProtection="1">
      <alignment horizontal="right"/>
      <protection hidden="1"/>
    </xf>
    <xf numFmtId="39" fontId="5" fillId="2" borderId="8" xfId="28" applyNumberFormat="1" applyFont="1" applyFill="1" applyBorder="1" applyProtection="1">
      <protection hidden="1"/>
    </xf>
    <xf numFmtId="39" fontId="5" fillId="2" borderId="4" xfId="28" applyNumberFormat="1" applyFont="1" applyFill="1" applyBorder="1" applyProtection="1">
      <protection hidden="1"/>
    </xf>
    <xf numFmtId="39" fontId="5" fillId="2" borderId="11" xfId="28" applyNumberFormat="1" applyFont="1" applyFill="1" applyBorder="1" applyProtection="1">
      <protection hidden="1"/>
    </xf>
    <xf numFmtId="0" fontId="5" fillId="0" borderId="8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39" fontId="5" fillId="0" borderId="4" xfId="28" applyNumberFormat="1" applyFont="1" applyFill="1" applyBorder="1" applyAlignment="1" applyProtection="1">
      <alignment vertical="center"/>
      <protection locked="0"/>
    </xf>
    <xf numFmtId="165" fontId="9" fillId="2" borderId="8" xfId="0" applyNumberFormat="1" applyFont="1" applyFill="1" applyBorder="1" applyAlignment="1" applyProtection="1">
      <alignment vertical="center"/>
      <protection hidden="1"/>
    </xf>
    <xf numFmtId="39" fontId="5" fillId="2" borderId="8" xfId="28" applyNumberFormat="1" applyFont="1" applyFill="1" applyBorder="1" applyAlignment="1" applyProtection="1">
      <alignment horizontal="right" vertical="center"/>
      <protection hidden="1"/>
    </xf>
    <xf numFmtId="165" fontId="9" fillId="0" borderId="8" xfId="0" applyNumberFormat="1" applyFont="1" applyBorder="1" applyAlignment="1" applyProtection="1">
      <alignment vertical="center"/>
      <protection hidden="1"/>
    </xf>
    <xf numFmtId="0" fontId="6" fillId="0" borderId="2" xfId="0" applyFont="1" applyBorder="1" applyProtection="1">
      <protection locked="0"/>
    </xf>
    <xf numFmtId="0" fontId="4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6" fillId="0" borderId="3" xfId="0" applyFont="1" applyBorder="1" applyAlignment="1" applyProtection="1">
      <alignment horizontal="right"/>
      <protection hidden="1"/>
    </xf>
    <xf numFmtId="0" fontId="6" fillId="0" borderId="2" xfId="0" applyFont="1" applyBorder="1" applyProtection="1">
      <protection hidden="1"/>
    </xf>
    <xf numFmtId="0" fontId="8" fillId="0" borderId="0" xfId="0" applyFont="1" applyProtection="1">
      <protection hidden="1"/>
    </xf>
    <xf numFmtId="0" fontId="9" fillId="0" borderId="16" xfId="0" applyFont="1" applyBorder="1" applyAlignment="1" applyProtection="1">
      <alignment horizontal="right" vertical="center"/>
      <protection hidden="1"/>
    </xf>
    <xf numFmtId="0" fontId="11" fillId="0" borderId="0" xfId="0" applyFont="1" applyAlignment="1" applyProtection="1">
      <alignment horizontal="left"/>
      <protection hidden="1"/>
    </xf>
    <xf numFmtId="0" fontId="2" fillId="0" borderId="18" xfId="0" applyFont="1" applyBorder="1" applyProtection="1">
      <protection hidden="1"/>
    </xf>
    <xf numFmtId="0" fontId="2" fillId="0" borderId="19" xfId="0" applyFont="1" applyBorder="1" applyProtection="1">
      <protection hidden="1"/>
    </xf>
    <xf numFmtId="0" fontId="5" fillId="3" borderId="18" xfId="0" applyFont="1" applyFill="1" applyBorder="1" applyAlignment="1" applyProtection="1">
      <alignment vertical="center"/>
      <protection hidden="1"/>
    </xf>
    <xf numFmtId="0" fontId="5" fillId="3" borderId="16" xfId="0" applyFont="1" applyFill="1" applyBorder="1" applyAlignment="1" applyProtection="1">
      <alignment vertical="center"/>
      <protection hidden="1"/>
    </xf>
    <xf numFmtId="0" fontId="5" fillId="0" borderId="23" xfId="0" applyFont="1" applyBorder="1" applyAlignment="1" applyProtection="1">
      <alignment horizontal="right"/>
      <protection hidden="1"/>
    </xf>
    <xf numFmtId="0" fontId="5" fillId="0" borderId="10" xfId="0" applyFont="1" applyBorder="1" applyAlignment="1" applyProtection="1">
      <alignment horizontal="right"/>
      <protection hidden="1"/>
    </xf>
    <xf numFmtId="0" fontId="5" fillId="3" borderId="18" xfId="0" applyFont="1" applyFill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right"/>
      <protection hidden="1"/>
    </xf>
    <xf numFmtId="0" fontId="5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0" borderId="10" xfId="0" applyFont="1" applyBorder="1" applyAlignment="1" applyProtection="1">
      <alignment horizontal="right"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5" fillId="0" borderId="27" xfId="0" applyFont="1" applyBorder="1" applyAlignment="1" applyProtection="1">
      <alignment vertical="center"/>
      <protection hidden="1"/>
    </xf>
    <xf numFmtId="0" fontId="9" fillId="0" borderId="29" xfId="0" applyFont="1" applyBorder="1" applyAlignment="1" applyProtection="1">
      <alignment vertical="center"/>
      <protection hidden="1"/>
    </xf>
    <xf numFmtId="0" fontId="9" fillId="0" borderId="8" xfId="0" applyFont="1" applyBorder="1" applyAlignment="1" applyProtection="1">
      <alignment horizontal="right" vertical="center"/>
      <protection hidden="1"/>
    </xf>
    <xf numFmtId="0" fontId="33" fillId="0" borderId="0" xfId="0" applyFont="1" applyProtection="1">
      <protection hidden="1"/>
    </xf>
    <xf numFmtId="0" fontId="34" fillId="0" borderId="0" xfId="0" applyFont="1" applyProtection="1">
      <protection hidden="1"/>
    </xf>
    <xf numFmtId="0" fontId="5" fillId="19" borderId="41" xfId="0" applyFont="1" applyFill="1" applyBorder="1" applyAlignment="1" applyProtection="1">
      <alignment horizontal="center"/>
      <protection hidden="1"/>
    </xf>
    <xf numFmtId="0" fontId="5" fillId="19" borderId="42" xfId="0" applyFont="1" applyFill="1" applyBorder="1" applyAlignment="1" applyProtection="1">
      <alignment horizontal="center"/>
      <protection hidden="1"/>
    </xf>
    <xf numFmtId="0" fontId="5" fillId="19" borderId="26" xfId="0" applyFont="1" applyFill="1" applyBorder="1" applyAlignment="1" applyProtection="1">
      <alignment horizontal="center"/>
      <protection hidden="1"/>
    </xf>
    <xf numFmtId="0" fontId="5" fillId="19" borderId="12" xfId="0" applyFont="1" applyFill="1" applyBorder="1" applyProtection="1">
      <protection hidden="1"/>
    </xf>
    <xf numFmtId="0" fontId="5" fillId="19" borderId="14" xfId="0" applyFont="1" applyFill="1" applyBorder="1" applyProtection="1">
      <protection hidden="1"/>
    </xf>
    <xf numFmtId="0" fontId="5" fillId="19" borderId="16" xfId="0" applyFont="1" applyFill="1" applyBorder="1" applyProtection="1">
      <protection hidden="1"/>
    </xf>
    <xf numFmtId="0" fontId="36" fillId="0" borderId="0" xfId="0" applyFont="1" applyAlignment="1">
      <alignment vertical="top" wrapText="1"/>
    </xf>
    <xf numFmtId="2" fontId="2" fillId="0" borderId="0" xfId="0" applyNumberFormat="1" applyFont="1" applyProtection="1">
      <protection hidden="1"/>
    </xf>
    <xf numFmtId="0" fontId="5" fillId="0" borderId="0" xfId="0" applyFont="1" applyAlignment="1" applyProtection="1">
      <alignment horizontal="right"/>
      <protection hidden="1"/>
    </xf>
    <xf numFmtId="0" fontId="6" fillId="0" borderId="0" xfId="0" applyFont="1" applyAlignment="1" applyProtection="1">
      <alignment horizontal="right"/>
      <protection hidden="1"/>
    </xf>
    <xf numFmtId="0" fontId="5" fillId="0" borderId="13" xfId="0" applyFont="1" applyBorder="1" applyAlignment="1" applyProtection="1">
      <alignment vertical="center"/>
      <protection hidden="1"/>
    </xf>
    <xf numFmtId="0" fontId="5" fillId="0" borderId="0" xfId="0" applyFont="1" applyProtection="1">
      <protection locked="0"/>
    </xf>
    <xf numFmtId="39" fontId="5" fillId="2" borderId="7" xfId="28" applyNumberFormat="1" applyFont="1" applyFill="1" applyBorder="1" applyProtection="1">
      <protection hidden="1"/>
    </xf>
    <xf numFmtId="0" fontId="5" fillId="0" borderId="13" xfId="0" applyFont="1" applyBorder="1" applyProtection="1">
      <protection locked="0"/>
    </xf>
    <xf numFmtId="166" fontId="34" fillId="0" borderId="0" xfId="0" applyNumberFormat="1" applyFont="1" applyProtection="1">
      <protection hidden="1"/>
    </xf>
    <xf numFmtId="0" fontId="5" fillId="0" borderId="3" xfId="0" applyFont="1" applyBorder="1" applyProtection="1">
      <protection hidden="1"/>
    </xf>
    <xf numFmtId="0" fontId="35" fillId="0" borderId="0" xfId="0" applyFont="1" applyProtection="1">
      <protection hidden="1"/>
    </xf>
    <xf numFmtId="0" fontId="30" fillId="0" borderId="0" xfId="0" applyFont="1" applyProtection="1">
      <protection hidden="1"/>
    </xf>
    <xf numFmtId="2" fontId="0" fillId="0" borderId="12" xfId="0" applyNumberFormat="1" applyBorder="1" applyProtection="1">
      <protection hidden="1"/>
    </xf>
    <xf numFmtId="2" fontId="5" fillId="2" borderId="9" xfId="0" applyNumberFormat="1" applyFont="1" applyFill="1" applyBorder="1" applyProtection="1">
      <protection hidden="1"/>
    </xf>
    <xf numFmtId="2" fontId="5" fillId="2" borderId="5" xfId="0" applyNumberFormat="1" applyFont="1" applyFill="1" applyBorder="1" applyProtection="1">
      <protection hidden="1"/>
    </xf>
    <xf numFmtId="2" fontId="9" fillId="2" borderId="17" xfId="0" applyNumberFormat="1" applyFont="1" applyFill="1" applyBorder="1" applyProtection="1">
      <protection hidden="1"/>
    </xf>
    <xf numFmtId="2" fontId="5" fillId="2" borderId="8" xfId="0" applyNumberFormat="1" applyFont="1" applyFill="1" applyBorder="1" applyProtection="1">
      <protection hidden="1"/>
    </xf>
    <xf numFmtId="2" fontId="5" fillId="2" borderId="7" xfId="0" applyNumberFormat="1" applyFont="1" applyFill="1" applyBorder="1" applyProtection="1">
      <protection hidden="1"/>
    </xf>
    <xf numFmtId="2" fontId="5" fillId="2" borderId="4" xfId="0" applyNumberFormat="1" applyFont="1" applyFill="1" applyBorder="1" applyProtection="1">
      <protection hidden="1"/>
    </xf>
    <xf numFmtId="2" fontId="5" fillId="2" borderId="11" xfId="0" applyNumberFormat="1" applyFont="1" applyFill="1" applyBorder="1" applyProtection="1">
      <protection hidden="1"/>
    </xf>
    <xf numFmtId="2" fontId="5" fillId="2" borderId="15" xfId="0" applyNumberFormat="1" applyFont="1" applyFill="1" applyBorder="1" applyProtection="1">
      <protection hidden="1"/>
    </xf>
    <xf numFmtId="20" fontId="5" fillId="0" borderId="8" xfId="0" applyNumberFormat="1" applyFont="1" applyBorder="1" applyProtection="1">
      <protection locked="0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wrapText="1"/>
      <protection hidden="1"/>
    </xf>
    <xf numFmtId="0" fontId="39" fillId="0" borderId="0" xfId="0" applyFont="1" applyAlignment="1" applyProtection="1">
      <alignment horizontal="right"/>
      <protection hidden="1"/>
    </xf>
    <xf numFmtId="2" fontId="0" fillId="20" borderId="11" xfId="0" applyNumberFormat="1" applyFill="1" applyBorder="1" applyProtection="1">
      <protection hidden="1"/>
    </xf>
    <xf numFmtId="0" fontId="0" fillId="0" borderId="12" xfId="0" applyBorder="1" applyProtection="1">
      <protection hidden="1"/>
    </xf>
    <xf numFmtId="0" fontId="0" fillId="0" borderId="8" xfId="0" applyBorder="1" applyProtection="1">
      <protection hidden="1"/>
    </xf>
    <xf numFmtId="0" fontId="5" fillId="0" borderId="1" xfId="0" applyFont="1" applyBorder="1" applyProtection="1">
      <protection hidden="1"/>
    </xf>
    <xf numFmtId="2" fontId="5" fillId="0" borderId="0" xfId="0" applyNumberFormat="1" applyFont="1" applyAlignment="1" applyProtection="1">
      <alignment horizontal="right"/>
      <protection hidden="1"/>
    </xf>
    <xf numFmtId="166" fontId="5" fillId="0" borderId="0" xfId="0" applyNumberFormat="1" applyFont="1" applyAlignment="1" applyProtection="1">
      <alignment horizontal="right"/>
      <protection hidden="1"/>
    </xf>
    <xf numFmtId="8" fontId="5" fillId="0" borderId="0" xfId="0" applyNumberFormat="1" applyFont="1" applyAlignment="1" applyProtection="1">
      <alignment horizontal="right"/>
      <protection hidden="1"/>
    </xf>
    <xf numFmtId="165" fontId="5" fillId="0" borderId="0" xfId="0" applyNumberFormat="1" applyFont="1" applyAlignment="1" applyProtection="1">
      <alignment horizontal="right"/>
      <protection hidden="1"/>
    </xf>
    <xf numFmtId="0" fontId="0" fillId="0" borderId="0" xfId="0" applyAlignment="1">
      <alignment horizontal="right"/>
    </xf>
    <xf numFmtId="0" fontId="34" fillId="0" borderId="0" xfId="0" applyFont="1" applyAlignment="1" applyProtection="1">
      <alignment horizontal="right"/>
      <protection hidden="1"/>
    </xf>
    <xf numFmtId="2" fontId="9" fillId="0" borderId="0" xfId="0" applyNumberFormat="1" applyFont="1" applyAlignment="1" applyProtection="1">
      <alignment horizontal="left"/>
      <protection hidden="1"/>
    </xf>
    <xf numFmtId="2" fontId="5" fillId="0" borderId="0" xfId="0" applyNumberFormat="1" applyFont="1" applyAlignment="1" applyProtection="1">
      <alignment horizontal="left"/>
      <protection hidden="1"/>
    </xf>
    <xf numFmtId="2" fontId="33" fillId="0" borderId="0" xfId="0" applyNumberFormat="1" applyFont="1" applyAlignment="1" applyProtection="1">
      <alignment horizontal="left"/>
      <protection hidden="1"/>
    </xf>
    <xf numFmtId="2" fontId="0" fillId="20" borderId="53" xfId="0" applyNumberFormat="1" applyFill="1" applyBorder="1" applyProtection="1">
      <protection hidden="1"/>
    </xf>
    <xf numFmtId="15" fontId="39" fillId="0" borderId="53" xfId="0" applyNumberFormat="1" applyFont="1" applyBorder="1" applyProtection="1">
      <protection hidden="1"/>
    </xf>
    <xf numFmtId="0" fontId="0" fillId="21" borderId="13" xfId="0" applyFill="1" applyBorder="1" applyProtection="1">
      <protection hidden="1"/>
    </xf>
    <xf numFmtId="0" fontId="0" fillId="21" borderId="0" xfId="0" applyFill="1" applyProtection="1">
      <protection hidden="1"/>
    </xf>
    <xf numFmtId="0" fontId="0" fillId="21" borderId="29" xfId="0" applyFill="1" applyBorder="1" applyProtection="1">
      <protection hidden="1"/>
    </xf>
    <xf numFmtId="0" fontId="1" fillId="21" borderId="0" xfId="0" applyFont="1" applyFill="1" applyProtection="1">
      <protection hidden="1"/>
    </xf>
    <xf numFmtId="2" fontId="0" fillId="21" borderId="0" xfId="0" applyNumberFormat="1" applyFill="1" applyProtection="1">
      <protection hidden="1"/>
    </xf>
    <xf numFmtId="0" fontId="31" fillId="21" borderId="0" xfId="0" applyFont="1" applyFill="1" applyProtection="1">
      <protection hidden="1"/>
    </xf>
    <xf numFmtId="0" fontId="0" fillId="21" borderId="25" xfId="0" applyFill="1" applyBorder="1" applyProtection="1">
      <protection hidden="1"/>
    </xf>
    <xf numFmtId="0" fontId="0" fillId="21" borderId="1" xfId="0" applyFill="1" applyBorder="1" applyProtection="1">
      <protection hidden="1"/>
    </xf>
    <xf numFmtId="0" fontId="0" fillId="21" borderId="10" xfId="0" applyFill="1" applyBorder="1" applyProtection="1">
      <protection hidden="1"/>
    </xf>
    <xf numFmtId="2" fontId="0" fillId="0" borderId="11" xfId="0" applyNumberFormat="1" applyBorder="1" applyProtection="1">
      <protection hidden="1"/>
    </xf>
    <xf numFmtId="0" fontId="9" fillId="21" borderId="0" xfId="0" applyFont="1" applyFill="1" applyProtection="1">
      <protection hidden="1"/>
    </xf>
    <xf numFmtId="0" fontId="4" fillId="21" borderId="43" xfId="0" applyFont="1" applyFill="1" applyBorder="1" applyProtection="1">
      <protection hidden="1"/>
    </xf>
    <xf numFmtId="166" fontId="10" fillId="21" borderId="39" xfId="0" applyNumberFormat="1" applyFont="1" applyFill="1" applyBorder="1" applyAlignment="1" applyProtection="1">
      <alignment horizontal="left"/>
      <protection hidden="1"/>
    </xf>
    <xf numFmtId="0" fontId="8" fillId="21" borderId="40" xfId="0" applyFont="1" applyFill="1" applyBorder="1" applyProtection="1">
      <protection hidden="1"/>
    </xf>
    <xf numFmtId="2" fontId="2" fillId="21" borderId="0" xfId="0" applyNumberFormat="1" applyFont="1" applyFill="1" applyProtection="1">
      <protection hidden="1"/>
    </xf>
    <xf numFmtId="0" fontId="7" fillId="21" borderId="0" xfId="0" applyFont="1" applyFill="1" applyAlignment="1" applyProtection="1">
      <alignment horizontal="center"/>
      <protection hidden="1"/>
    </xf>
    <xf numFmtId="0" fontId="6" fillId="21" borderId="29" xfId="0" applyFont="1" applyFill="1" applyBorder="1" applyProtection="1">
      <protection hidden="1"/>
    </xf>
    <xf numFmtId="0" fontId="9" fillId="21" borderId="0" xfId="0" applyFont="1" applyFill="1" applyAlignment="1" applyProtection="1">
      <alignment horizontal="left"/>
      <protection hidden="1"/>
    </xf>
    <xf numFmtId="0" fontId="29" fillId="21" borderId="0" xfId="0" applyFont="1" applyFill="1" applyAlignment="1" applyProtection="1">
      <alignment horizontal="left"/>
      <protection hidden="1"/>
    </xf>
    <xf numFmtId="0" fontId="29" fillId="21" borderId="0" xfId="0" applyFont="1" applyFill="1" applyAlignment="1" applyProtection="1">
      <alignment horizontal="right"/>
      <protection hidden="1"/>
    </xf>
    <xf numFmtId="0" fontId="7" fillId="21" borderId="0" xfId="0" applyFont="1" applyFill="1" applyAlignment="1">
      <alignment horizontal="center"/>
    </xf>
    <xf numFmtId="0" fontId="10" fillId="21" borderId="0" xfId="0" applyFont="1" applyFill="1" applyProtection="1">
      <protection hidden="1"/>
    </xf>
    <xf numFmtId="0" fontId="6" fillId="21" borderId="0" xfId="0" applyFont="1" applyFill="1" applyProtection="1">
      <protection hidden="1"/>
    </xf>
    <xf numFmtId="166" fontId="10" fillId="21" borderId="0" xfId="0" applyNumberFormat="1" applyFont="1" applyFill="1" applyAlignment="1" applyProtection="1">
      <alignment horizontal="left"/>
      <protection hidden="1"/>
    </xf>
    <xf numFmtId="0" fontId="10" fillId="21" borderId="0" xfId="0" applyFont="1" applyFill="1" applyAlignment="1" applyProtection="1">
      <alignment horizontal="left"/>
      <protection hidden="1"/>
    </xf>
    <xf numFmtId="20" fontId="2" fillId="21" borderId="0" xfId="0" applyNumberFormat="1" applyFont="1" applyFill="1" applyProtection="1">
      <protection hidden="1"/>
    </xf>
    <xf numFmtId="0" fontId="2" fillId="21" borderId="0" xfId="0" applyFont="1" applyFill="1" applyProtection="1">
      <protection hidden="1"/>
    </xf>
    <xf numFmtId="0" fontId="2" fillId="21" borderId="0" xfId="0" applyFont="1" applyFill="1" applyAlignment="1" applyProtection="1">
      <alignment vertical="center"/>
      <protection hidden="1"/>
    </xf>
    <xf numFmtId="44" fontId="2" fillId="21" borderId="0" xfId="28" applyFont="1" applyFill="1" applyBorder="1" applyProtection="1">
      <protection hidden="1"/>
    </xf>
    <xf numFmtId="39" fontId="6" fillId="21" borderId="0" xfId="0" applyNumberFormat="1" applyFont="1" applyFill="1" applyProtection="1">
      <protection hidden="1"/>
    </xf>
    <xf numFmtId="44" fontId="2" fillId="21" borderId="0" xfId="28" applyFont="1" applyFill="1" applyBorder="1" applyAlignment="1" applyProtection="1">
      <alignment vertical="center"/>
      <protection hidden="1"/>
    </xf>
    <xf numFmtId="0" fontId="6" fillId="21" borderId="0" xfId="0" applyFont="1" applyFill="1" applyAlignment="1" applyProtection="1">
      <alignment vertical="center"/>
      <protection hidden="1"/>
    </xf>
    <xf numFmtId="0" fontId="6" fillId="21" borderId="29" xfId="0" applyFont="1" applyFill="1" applyBorder="1" applyAlignment="1" applyProtection="1">
      <alignment vertical="center"/>
      <protection hidden="1"/>
    </xf>
    <xf numFmtId="0" fontId="2" fillId="21" borderId="29" xfId="0" applyFont="1" applyFill="1" applyBorder="1" applyAlignment="1" applyProtection="1">
      <alignment vertical="center"/>
      <protection hidden="1"/>
    </xf>
    <xf numFmtId="0" fontId="2" fillId="21" borderId="1" xfId="0" applyFont="1" applyFill="1" applyBorder="1" applyAlignment="1" applyProtection="1">
      <alignment vertical="center"/>
      <protection hidden="1"/>
    </xf>
    <xf numFmtId="0" fontId="2" fillId="21" borderId="10" xfId="0" applyFont="1" applyFill="1" applyBorder="1" applyAlignment="1" applyProtection="1">
      <alignment vertical="center"/>
      <protection hidden="1"/>
    </xf>
    <xf numFmtId="168" fontId="5" fillId="0" borderId="8" xfId="0" applyNumberFormat="1" applyFont="1" applyBorder="1" applyAlignment="1" applyProtection="1">
      <alignment horizontal="left"/>
      <protection locked="0"/>
    </xf>
    <xf numFmtId="168" fontId="5" fillId="0" borderId="8" xfId="0" applyNumberFormat="1" applyFont="1" applyBorder="1" applyAlignment="1" applyProtection="1">
      <alignment horizontal="left"/>
      <protection hidden="1"/>
    </xf>
    <xf numFmtId="0" fontId="5" fillId="0" borderId="4" xfId="0" applyFont="1" applyBorder="1" applyProtection="1">
      <protection locked="0"/>
    </xf>
    <xf numFmtId="0" fontId="33" fillId="0" borderId="28" xfId="0" applyFont="1" applyBorder="1" applyAlignment="1" applyProtection="1">
      <alignment horizontal="right" vertical="center"/>
      <protection hidden="1"/>
    </xf>
    <xf numFmtId="0" fontId="37" fillId="0" borderId="28" xfId="0" applyFont="1" applyBorder="1" applyAlignment="1">
      <alignment horizontal="right" vertical="center"/>
    </xf>
    <xf numFmtId="0" fontId="5" fillId="0" borderId="24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0" fontId="5" fillId="0" borderId="11" xfId="0" applyFont="1" applyBorder="1" applyProtection="1">
      <protection locked="0"/>
    </xf>
    <xf numFmtId="0" fontId="5" fillId="0" borderId="24" xfId="0" applyFont="1" applyBorder="1" applyProtection="1">
      <protection locked="0"/>
    </xf>
    <xf numFmtId="0" fontId="5" fillId="0" borderId="15" xfId="0" applyFont="1" applyBorder="1" applyProtection="1">
      <protection locked="0"/>
    </xf>
    <xf numFmtId="0" fontId="30" fillId="0" borderId="39" xfId="0" applyFont="1" applyBorder="1" applyAlignment="1" applyProtection="1">
      <alignment horizontal="left" vertical="center"/>
      <protection hidden="1"/>
    </xf>
    <xf numFmtId="0" fontId="32" fillId="0" borderId="39" xfId="0" applyFont="1" applyBorder="1" applyAlignment="1">
      <alignment horizontal="left" vertical="center"/>
    </xf>
    <xf numFmtId="0" fontId="32" fillId="0" borderId="40" xfId="0" applyFont="1" applyBorder="1" applyAlignment="1">
      <alignment horizontal="left" vertical="center"/>
    </xf>
    <xf numFmtId="0" fontId="5" fillId="3" borderId="19" xfId="0" applyFont="1" applyFill="1" applyBorder="1" applyAlignment="1" applyProtection="1">
      <alignment vertical="center"/>
      <protection hidden="1"/>
    </xf>
    <xf numFmtId="0" fontId="5" fillId="0" borderId="21" xfId="0" applyFont="1" applyBorder="1" applyAlignment="1" applyProtection="1">
      <alignment vertical="center"/>
      <protection hidden="1"/>
    </xf>
    <xf numFmtId="0" fontId="5" fillId="0" borderId="22" xfId="0" applyFont="1" applyBorder="1" applyAlignment="1" applyProtection="1">
      <alignment vertical="center"/>
      <protection hidden="1"/>
    </xf>
    <xf numFmtId="0" fontId="5" fillId="0" borderId="8" xfId="0" applyFont="1" applyBorder="1" applyProtection="1">
      <protection locked="0"/>
    </xf>
    <xf numFmtId="0" fontId="5" fillId="3" borderId="20" xfId="0" applyFont="1" applyFill="1" applyBorder="1" applyAlignment="1" applyProtection="1">
      <alignment vertical="center"/>
      <protection hidden="1"/>
    </xf>
    <xf numFmtId="0" fontId="5" fillId="0" borderId="25" xfId="0" applyFont="1" applyBorder="1" applyAlignment="1" applyProtection="1">
      <alignment vertical="center"/>
      <protection hidden="1"/>
    </xf>
    <xf numFmtId="0" fontId="5" fillId="0" borderId="1" xfId="0" applyFont="1" applyBorder="1" applyAlignment="1" applyProtection="1">
      <alignment vertical="center"/>
      <protection hidden="1"/>
    </xf>
    <xf numFmtId="0" fontId="37" fillId="21" borderId="50" xfId="0" applyFont="1" applyFill="1" applyBorder="1" applyAlignment="1">
      <alignment horizontal="center"/>
    </xf>
    <xf numFmtId="0" fontId="0" fillId="21" borderId="51" xfId="0" applyFill="1" applyBorder="1" applyAlignment="1">
      <alignment horizontal="center"/>
    </xf>
    <xf numFmtId="0" fontId="0" fillId="21" borderId="52" xfId="0" applyFill="1" applyBorder="1" applyAlignment="1">
      <alignment horizontal="center"/>
    </xf>
    <xf numFmtId="167" fontId="6" fillId="0" borderId="1" xfId="0" applyNumberFormat="1" applyFont="1" applyBorder="1" applyAlignment="1" applyProtection="1">
      <alignment horizontal="left"/>
      <protection locked="0" hidden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Protection="1">
      <protection locked="0"/>
    </xf>
    <xf numFmtId="0" fontId="6" fillId="0" borderId="2" xfId="0" applyFont="1" applyBorder="1" applyProtection="1">
      <protection hidden="1"/>
    </xf>
    <xf numFmtId="0" fontId="6" fillId="0" borderId="2" xfId="0" applyFont="1" applyBorder="1" applyProtection="1">
      <protection locked="0"/>
    </xf>
    <xf numFmtId="0" fontId="5" fillId="3" borderId="26" xfId="0" applyFont="1" applyFill="1" applyBorder="1" applyAlignment="1" applyProtection="1">
      <alignment vertical="center"/>
      <protection hidden="1"/>
    </xf>
    <xf numFmtId="0" fontId="33" fillId="0" borderId="0" xfId="0" applyFont="1" applyAlignment="1">
      <alignment vertical="top" wrapText="1"/>
    </xf>
    <xf numFmtId="0" fontId="0" fillId="0" borderId="0" xfId="0" applyAlignment="1">
      <alignment wrapText="1"/>
    </xf>
    <xf numFmtId="2" fontId="6" fillId="0" borderId="2" xfId="0" applyNumberFormat="1" applyFont="1" applyBorder="1" applyAlignment="1" applyProtection="1">
      <alignment horizontal="left"/>
      <protection locked="0"/>
    </xf>
    <xf numFmtId="0" fontId="7" fillId="21" borderId="13" xfId="0" applyFont="1" applyFill="1" applyBorder="1" applyAlignment="1" applyProtection="1">
      <alignment horizontal="center"/>
      <protection hidden="1"/>
    </xf>
    <xf numFmtId="0" fontId="0" fillId="21" borderId="0" xfId="0" applyFill="1" applyAlignment="1">
      <alignment horizontal="center"/>
    </xf>
    <xf numFmtId="0" fontId="0" fillId="21" borderId="29" xfId="0" applyFill="1" applyBorder="1" applyAlignment="1">
      <alignment horizontal="center"/>
    </xf>
    <xf numFmtId="0" fontId="40" fillId="0" borderId="48" xfId="0" applyFont="1" applyBorder="1" applyAlignment="1" applyProtection="1">
      <alignment horizontal="center" vertical="center"/>
      <protection hidden="1"/>
    </xf>
    <xf numFmtId="0" fontId="40" fillId="0" borderId="47" xfId="0" applyFont="1" applyBorder="1" applyAlignment="1">
      <alignment horizontal="center" vertical="center"/>
    </xf>
    <xf numFmtId="0" fontId="0" fillId="0" borderId="47" xfId="0" applyBorder="1" applyAlignment="1">
      <alignment vertical="center"/>
    </xf>
    <xf numFmtId="0" fontId="0" fillId="0" borderId="49" xfId="0" applyBorder="1" applyAlignment="1">
      <alignment vertical="center"/>
    </xf>
    <xf numFmtId="0" fontId="40" fillId="0" borderId="13" xfId="0" applyFont="1" applyBorder="1" applyAlignment="1" applyProtection="1">
      <alignment horizontal="center" vertical="center"/>
      <protection hidden="1"/>
    </xf>
    <xf numFmtId="0" fontId="40" fillId="0" borderId="0" xfId="0" applyFont="1" applyAlignment="1">
      <alignment horizontal="center" vertical="center"/>
    </xf>
    <xf numFmtId="0" fontId="5" fillId="0" borderId="27" xfId="0" applyFont="1" applyBorder="1" applyAlignment="1" applyProtection="1">
      <alignment horizontal="right" vertical="center"/>
      <protection locked="0"/>
    </xf>
    <xf numFmtId="0" fontId="5" fillId="0" borderId="28" xfId="0" applyFont="1" applyBorder="1" applyAlignment="1" applyProtection="1">
      <alignment horizontal="right" vertical="center"/>
      <protection locked="0"/>
    </xf>
    <xf numFmtId="0" fontId="2" fillId="0" borderId="28" xfId="0" applyFont="1" applyBorder="1" applyAlignment="1" applyProtection="1">
      <alignment horizontal="right" vertical="center"/>
      <protection locked="0"/>
    </xf>
    <xf numFmtId="0" fontId="2" fillId="0" borderId="6" xfId="0" applyFont="1" applyBorder="1" applyAlignment="1" applyProtection="1">
      <alignment horizontal="right" vertical="center"/>
      <protection locked="0"/>
    </xf>
    <xf numFmtId="0" fontId="5" fillId="0" borderId="15" xfId="0" applyFont="1" applyBorder="1" applyAlignment="1" applyProtection="1">
      <alignment vertical="center"/>
      <protection hidden="1"/>
    </xf>
    <xf numFmtId="0" fontId="5" fillId="0" borderId="21" xfId="0" applyFont="1" applyBorder="1" applyAlignment="1" applyProtection="1">
      <alignment horizontal="right" vertical="center"/>
      <protection hidden="1"/>
    </xf>
    <xf numFmtId="0" fontId="5" fillId="0" borderId="23" xfId="0" applyFont="1" applyBorder="1" applyAlignment="1" applyProtection="1">
      <alignment horizontal="right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38" fillId="21" borderId="44" xfId="0" applyFont="1" applyFill="1" applyBorder="1" applyAlignment="1" applyProtection="1">
      <alignment horizontal="center" wrapText="1"/>
      <protection hidden="1"/>
    </xf>
    <xf numFmtId="0" fontId="38" fillId="21" borderId="45" xfId="0" applyFont="1" applyFill="1" applyBorder="1" applyAlignment="1" applyProtection="1">
      <alignment horizontal="center"/>
      <protection hidden="1"/>
    </xf>
    <xf numFmtId="0" fontId="38" fillId="21" borderId="46" xfId="0" applyFont="1" applyFill="1" applyBorder="1" applyAlignment="1" applyProtection="1">
      <alignment horizontal="center"/>
      <protection hidden="1"/>
    </xf>
    <xf numFmtId="0" fontId="36" fillId="0" borderId="50" xfId="0" applyFont="1" applyBorder="1" applyAlignment="1" applyProtection="1">
      <alignment horizontal="center" wrapText="1"/>
      <protection hidden="1"/>
    </xf>
    <xf numFmtId="0" fontId="0" fillId="0" borderId="51" xfId="0" applyBorder="1" applyAlignment="1">
      <alignment horizontal="center" wrapText="1"/>
    </xf>
    <xf numFmtId="0" fontId="0" fillId="0" borderId="52" xfId="0" applyBorder="1" applyAlignment="1">
      <alignment horizontal="center" wrapText="1"/>
    </xf>
  </cellXfs>
  <cellStyles count="4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Currency" xfId="28" builtinId="4"/>
    <cellStyle name="Explanatory Text" xfId="29" xr:uid="{00000000-0005-0000-0000-00001C000000}"/>
    <cellStyle name="Good" xfId="30" xr:uid="{00000000-0005-0000-0000-00001D000000}"/>
    <cellStyle name="Heading 1" xfId="31" xr:uid="{00000000-0005-0000-0000-00001E000000}"/>
    <cellStyle name="Heading 2" xfId="32" xr:uid="{00000000-0005-0000-0000-00001F000000}"/>
    <cellStyle name="Heading 3" xfId="33" xr:uid="{00000000-0005-0000-0000-000020000000}"/>
    <cellStyle name="Heading 4" xfId="34" xr:uid="{00000000-0005-0000-0000-000021000000}"/>
    <cellStyle name="Input" xfId="35" xr:uid="{00000000-0005-0000-0000-000022000000}"/>
    <cellStyle name="Linked Cell" xfId="36" xr:uid="{00000000-0005-0000-0000-000023000000}"/>
    <cellStyle name="Neutral" xfId="37" xr:uid="{00000000-0005-0000-0000-000024000000}"/>
    <cellStyle name="Normal" xfId="0" builtinId="0"/>
    <cellStyle name="Note" xfId="38" xr:uid="{00000000-0005-0000-0000-000026000000}"/>
    <cellStyle name="Output" xfId="39" xr:uid="{00000000-0005-0000-0000-000027000000}"/>
    <cellStyle name="Title" xfId="40" xr:uid="{00000000-0005-0000-0000-000028000000}"/>
    <cellStyle name="Total" xfId="41" xr:uid="{00000000-0005-0000-0000-000029000000}"/>
    <cellStyle name="Warning Text" xfId="42" xr:uid="{00000000-0005-0000-0000-00002A000000}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7F0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12699</xdr:colOff>
      <xdr:row>2</xdr:row>
      <xdr:rowOff>25400</xdr:rowOff>
    </xdr:from>
    <xdr:to>
      <xdr:col>4</xdr:col>
      <xdr:colOff>120699</xdr:colOff>
      <xdr:row>2</xdr:row>
      <xdr:rowOff>177800</xdr:rowOff>
    </xdr:to>
    <xdr:sp macro="" textlink="">
      <xdr:nvSpPr>
        <xdr:cNvPr id="1369" name="AutoShape 39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rrowheads="1"/>
        </xdr:cNvSpPr>
      </xdr:nvSpPr>
      <xdr:spPr bwMode="auto">
        <a:xfrm>
          <a:off x="3079749" y="425450"/>
          <a:ext cx="108000" cy="152400"/>
        </a:xfrm>
        <a:prstGeom prst="leftArrow">
          <a:avLst>
            <a:gd name="adj1" fmla="val 50000"/>
            <a:gd name="adj2" fmla="val 25000"/>
          </a:avLst>
        </a:prstGeom>
        <a:solidFill>
          <a:srgbClr val="1FB714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en-US"/>
        </a:p>
      </xdr:txBody>
    </xdr:sp>
    <xdr:clientData fPrintsWithSheet="0"/>
  </xdr:twoCellAnchor>
  <xdr:twoCellAnchor>
    <xdr:from>
      <xdr:col>1</xdr:col>
      <xdr:colOff>742950</xdr:colOff>
      <xdr:row>7</xdr:row>
      <xdr:rowOff>25400</xdr:rowOff>
    </xdr:from>
    <xdr:to>
      <xdr:col>1</xdr:col>
      <xdr:colOff>850950</xdr:colOff>
      <xdr:row>7</xdr:row>
      <xdr:rowOff>177800</xdr:rowOff>
    </xdr:to>
    <xdr:sp macro="" textlink="">
      <xdr:nvSpPr>
        <xdr:cNvPr id="12" name="AutoShape 39">
          <a:extLst>
            <a:ext uri="{FF2B5EF4-FFF2-40B4-BE49-F238E27FC236}">
              <a16:creationId xmlns:a16="http://schemas.microsoft.com/office/drawing/2014/main" id="{6C28DD18-468B-0749-A9C6-A2847CC54507}"/>
            </a:ext>
          </a:extLst>
        </xdr:cNvPr>
        <xdr:cNvSpPr>
          <a:spLocks noChangeArrowheads="1"/>
        </xdr:cNvSpPr>
      </xdr:nvSpPr>
      <xdr:spPr bwMode="auto">
        <a:xfrm>
          <a:off x="771525" y="1377950"/>
          <a:ext cx="108000" cy="152400"/>
        </a:xfrm>
        <a:prstGeom prst="leftArrow">
          <a:avLst>
            <a:gd name="adj1" fmla="val 50000"/>
            <a:gd name="adj2" fmla="val 25000"/>
          </a:avLst>
        </a:prstGeom>
        <a:solidFill>
          <a:srgbClr val="1FB714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en-US"/>
        </a:p>
      </xdr:txBody>
    </xdr:sp>
    <xdr:clientData fPrintsWithSheet="0"/>
  </xdr:twoCellAnchor>
  <xdr:twoCellAnchor>
    <xdr:from>
      <xdr:col>7</xdr:col>
      <xdr:colOff>9525</xdr:colOff>
      <xdr:row>2</xdr:row>
      <xdr:rowOff>25400</xdr:rowOff>
    </xdr:from>
    <xdr:to>
      <xdr:col>7</xdr:col>
      <xdr:colOff>120650</xdr:colOff>
      <xdr:row>2</xdr:row>
      <xdr:rowOff>177800</xdr:rowOff>
    </xdr:to>
    <xdr:sp macro="" textlink="">
      <xdr:nvSpPr>
        <xdr:cNvPr id="13" name="AutoShape 39">
          <a:extLst>
            <a:ext uri="{FF2B5EF4-FFF2-40B4-BE49-F238E27FC236}">
              <a16:creationId xmlns:a16="http://schemas.microsoft.com/office/drawing/2014/main" id="{10E79DB6-B3EB-0D48-9040-EEE6FD99FD19}"/>
            </a:ext>
          </a:extLst>
        </xdr:cNvPr>
        <xdr:cNvSpPr>
          <a:spLocks noChangeArrowheads="1"/>
        </xdr:cNvSpPr>
      </xdr:nvSpPr>
      <xdr:spPr bwMode="auto">
        <a:xfrm>
          <a:off x="4924425" y="425450"/>
          <a:ext cx="111125" cy="152400"/>
        </a:xfrm>
        <a:prstGeom prst="leftArrow">
          <a:avLst>
            <a:gd name="adj1" fmla="val 50000"/>
            <a:gd name="adj2" fmla="val 25000"/>
          </a:avLst>
        </a:prstGeom>
        <a:solidFill>
          <a:srgbClr val="1FB714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en-US"/>
        </a:p>
      </xdr:txBody>
    </xdr:sp>
    <xdr:clientData fPrintsWithSheet="0"/>
  </xdr:twoCellAnchor>
  <xdr:twoCellAnchor>
    <xdr:from>
      <xdr:col>7</xdr:col>
      <xdr:colOff>9525</xdr:colOff>
      <xdr:row>0</xdr:row>
      <xdr:rowOff>38100</xdr:rowOff>
    </xdr:from>
    <xdr:to>
      <xdr:col>7</xdr:col>
      <xdr:colOff>120650</xdr:colOff>
      <xdr:row>1</xdr:row>
      <xdr:rowOff>3048</xdr:rowOff>
    </xdr:to>
    <xdr:sp macro="" textlink="">
      <xdr:nvSpPr>
        <xdr:cNvPr id="14" name="AutoShape 39">
          <a:extLst>
            <a:ext uri="{FF2B5EF4-FFF2-40B4-BE49-F238E27FC236}">
              <a16:creationId xmlns:a16="http://schemas.microsoft.com/office/drawing/2014/main" id="{5CA5E2E7-6D06-DB4B-805E-4296E7EACFE8}"/>
            </a:ext>
          </a:extLst>
        </xdr:cNvPr>
        <xdr:cNvSpPr>
          <a:spLocks noChangeArrowheads="1"/>
        </xdr:cNvSpPr>
      </xdr:nvSpPr>
      <xdr:spPr bwMode="auto">
        <a:xfrm>
          <a:off x="4924425" y="38100"/>
          <a:ext cx="111125" cy="164973"/>
        </a:xfrm>
        <a:prstGeom prst="leftArrow">
          <a:avLst>
            <a:gd name="adj1" fmla="val 50000"/>
            <a:gd name="adj2" fmla="val 25000"/>
          </a:avLst>
        </a:prstGeom>
        <a:solidFill>
          <a:srgbClr val="1FB714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en-US"/>
        </a:p>
      </xdr:txBody>
    </xdr:sp>
    <xdr:clientData fPrintsWithSheet="0"/>
  </xdr:twoCellAnchor>
  <xdr:twoCellAnchor>
    <xdr:from>
      <xdr:col>11</xdr:col>
      <xdr:colOff>9525</xdr:colOff>
      <xdr:row>1</xdr:row>
      <xdr:rowOff>19050</xdr:rowOff>
    </xdr:from>
    <xdr:to>
      <xdr:col>12</xdr:col>
      <xdr:colOff>44450</xdr:colOff>
      <xdr:row>1</xdr:row>
      <xdr:rowOff>184023</xdr:rowOff>
    </xdr:to>
    <xdr:sp macro="" textlink="">
      <xdr:nvSpPr>
        <xdr:cNvPr id="10" name="AutoShape 39">
          <a:extLst>
            <a:ext uri="{FF2B5EF4-FFF2-40B4-BE49-F238E27FC236}">
              <a16:creationId xmlns:a16="http://schemas.microsoft.com/office/drawing/2014/main" id="{92EEDFE5-35D8-46E8-8BCE-09B05423121B}"/>
            </a:ext>
          </a:extLst>
        </xdr:cNvPr>
        <xdr:cNvSpPr>
          <a:spLocks noChangeArrowheads="1"/>
        </xdr:cNvSpPr>
      </xdr:nvSpPr>
      <xdr:spPr bwMode="auto">
        <a:xfrm>
          <a:off x="8416925" y="209550"/>
          <a:ext cx="111125" cy="164973"/>
        </a:xfrm>
        <a:prstGeom prst="leftArrow">
          <a:avLst>
            <a:gd name="adj1" fmla="val 50000"/>
            <a:gd name="adj2" fmla="val 25000"/>
          </a:avLst>
        </a:prstGeom>
        <a:solidFill>
          <a:srgbClr val="1FB714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en-US"/>
        </a:p>
      </xdr:txBody>
    </xdr:sp>
    <xdr:clientData fPrintsWithSheet="0"/>
  </xdr:twoCellAnchor>
  <xdr:twoCellAnchor>
    <xdr:from>
      <xdr:col>11</xdr:col>
      <xdr:colOff>0</xdr:colOff>
      <xdr:row>2</xdr:row>
      <xdr:rowOff>19050</xdr:rowOff>
    </xdr:from>
    <xdr:to>
      <xdr:col>12</xdr:col>
      <xdr:colOff>44450</xdr:colOff>
      <xdr:row>2</xdr:row>
      <xdr:rowOff>184023</xdr:rowOff>
    </xdr:to>
    <xdr:sp macro="" textlink="">
      <xdr:nvSpPr>
        <xdr:cNvPr id="11" name="AutoShape 39">
          <a:extLst>
            <a:ext uri="{FF2B5EF4-FFF2-40B4-BE49-F238E27FC236}">
              <a16:creationId xmlns:a16="http://schemas.microsoft.com/office/drawing/2014/main" id="{38A53448-399E-44F5-B129-5D5FA5395AD7}"/>
            </a:ext>
          </a:extLst>
        </xdr:cNvPr>
        <xdr:cNvSpPr>
          <a:spLocks noChangeArrowheads="1"/>
        </xdr:cNvSpPr>
      </xdr:nvSpPr>
      <xdr:spPr bwMode="auto">
        <a:xfrm>
          <a:off x="7334250" y="419100"/>
          <a:ext cx="111125" cy="164973"/>
        </a:xfrm>
        <a:prstGeom prst="leftArrow">
          <a:avLst>
            <a:gd name="adj1" fmla="val 50000"/>
            <a:gd name="adj2" fmla="val 25000"/>
          </a:avLst>
        </a:prstGeom>
        <a:solidFill>
          <a:srgbClr val="1FB714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en-US"/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2</xdr:row>
      <xdr:rowOff>38100</xdr:rowOff>
    </xdr:from>
    <xdr:to>
      <xdr:col>13</xdr:col>
      <xdr:colOff>114300</xdr:colOff>
      <xdr:row>65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51913C1-87DC-5A44-A159-4D67A9BB01AB}"/>
            </a:ext>
          </a:extLst>
        </xdr:cNvPr>
        <xdr:cNvSpPr txBox="1">
          <a:spLocks noChangeArrowheads="1"/>
        </xdr:cNvSpPr>
      </xdr:nvSpPr>
      <xdr:spPr bwMode="auto">
        <a:xfrm>
          <a:off x="444500" y="368300"/>
          <a:ext cx="10401300" cy="10363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64008" tIns="64008" rIns="64008" bIns="64008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Electronic Timesheet</a:t>
          </a:r>
        </a:p>
        <a:p>
          <a:pPr algn="l" rtl="0">
            <a:defRPr sz="1000"/>
          </a:pPr>
          <a:endParaRPr lang="en-US" sz="1600" b="1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1" i="0" u="sng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How to begin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Start by saving a copy of this file for the current week.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On</a:t>
          </a:r>
          <a:r>
            <a:rPr lang="en-US" sz="1600" b="0" i="0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 the first sheet, e</a:t>
          </a: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nter the following information into the cells marked with a green arrow: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lvl="1"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Company</a:t>
          </a:r>
        </a:p>
        <a:p>
          <a:pPr lvl="1"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Name</a:t>
          </a:r>
        </a:p>
        <a:p>
          <a:pPr lvl="1"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Employee number if needed</a:t>
          </a:r>
        </a:p>
        <a:p>
          <a:pPr lvl="1"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Weekly</a:t>
          </a:r>
          <a:r>
            <a:rPr lang="en-US" sz="1600" b="0" i="0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 Fee - for privacy, this figure will disappear from the sheet when entered.</a:t>
          </a:r>
        </a:p>
        <a:p>
          <a:pPr lvl="1" algn="l" rtl="0">
            <a:defRPr sz="1000"/>
          </a:pPr>
          <a:r>
            <a:rPr lang="en-US" sz="1600" b="0" i="0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Whether the show is TYA or not</a:t>
          </a:r>
        </a:p>
        <a:p>
          <a:pPr lvl="1" algn="l" rtl="0">
            <a:defRPr sz="1000"/>
          </a:pPr>
          <a:r>
            <a:rPr lang="en-US" sz="1600" b="0" i="0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Starting Date</a:t>
          </a: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lvl="1"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1" i="0" u="sng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To fill in the sheet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The "Work Hours" column automatically calculates and totals hours from the start and end times entered. </a:t>
          </a:r>
          <a:r>
            <a:rPr lang="en-US" sz="1600" b="1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Enter times in 24-hour format, or as a time followed by AM or PM. </a:t>
          </a: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Work hours will </a:t>
          </a:r>
          <a:r>
            <a:rPr lang="en-US" sz="1600" b="0" i="0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round up to the nearest 15 minutes.</a:t>
          </a: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endParaRPr lang="en-US" sz="1600" b="1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Do not enter break hours. If you want to note a break, enter the break as an activity with no associated times.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This spreadsheet does not "detect" ITA overtime or penalties. </a:t>
          </a: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You have to know the rules and recognise overtime and penalty occurrences. 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Enter overtime/penalty codes as appropriate, along with an hour amount. </a:t>
          </a:r>
          <a:r>
            <a:rPr lang="en-US" sz="1600" b="1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Enter overtime and penalty hours in 1/2 hour increments. </a:t>
          </a: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The fee will be automatically calculated, and summarized at the bottom.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Payment types for which no code is provided can be entered under "Miscellaneous" at the bottom.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1" i="0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If you are seeing an error flagged in a cell</a:t>
          </a:r>
          <a:r>
            <a:rPr lang="en-US" sz="1600" b="0" i="0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, it likely means that some of the green-arrow information needed on the timesheet has not been correctly entered. Please review the </a:t>
          </a:r>
          <a:r>
            <a:rPr lang="en-US" sz="1600" b="0" i="1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How to begin </a:t>
          </a:r>
          <a:r>
            <a:rPr lang="en-US" sz="1600" b="0" i="0" strike="noStrike" baseline="0">
              <a:solidFill>
                <a:srgbClr val="000000"/>
              </a:solidFill>
              <a:latin typeface="Helvetica"/>
              <a:ea typeface="Helvetica"/>
              <a:cs typeface="Helvetica"/>
            </a:rPr>
            <a:t>section above.</a:t>
          </a: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Important:</a:t>
          </a: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 In almost all cases, work involving overtime or penalty requires the pre-approval of the theatre, as set out in the applicable collective agreement. </a:t>
          </a:r>
          <a:r>
            <a:rPr lang="en-US" sz="1600" b="1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Please be proactive about this!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Comments and suggestions for improvement are welcome, and can be sent to:</a:t>
          </a:r>
        </a:p>
        <a:p>
          <a:pPr algn="l" rtl="0">
            <a:defRPr sz="1000"/>
          </a:pPr>
          <a:endParaRPr lang="en-US" sz="1600" b="0" i="0" strike="noStrike">
            <a:solidFill>
              <a:srgbClr val="000000"/>
            </a:solidFill>
            <a:latin typeface="Helvetica"/>
            <a:ea typeface="Helvetica"/>
            <a:cs typeface="Helvetica"/>
          </a:endParaRP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latin typeface="Helvetica"/>
              <a:ea typeface="Helvetica"/>
              <a:cs typeface="Helvetica"/>
            </a:rPr>
            <a:t>caea.sm.committee@gmail.com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B79"/>
  <sheetViews>
    <sheetView showGridLines="0" showRowColHeaders="0" showZeros="0" tabSelected="1" zoomScale="125" zoomScaleNormal="125" workbookViewId="0">
      <selection activeCell="C1" sqref="C1:G1"/>
    </sheetView>
  </sheetViews>
  <sheetFormatPr baseColWidth="10" defaultColWidth="0.1640625" defaultRowHeight="16" x14ac:dyDescent="0.2"/>
  <cols>
    <col min="1" max="1" width="0.5" style="27" customWidth="1"/>
    <col min="2" max="2" width="13" style="27" customWidth="1"/>
    <col min="3" max="3" width="21.33203125" style="27" customWidth="1"/>
    <col min="4" max="6" width="11.33203125" style="27" customWidth="1"/>
    <col min="7" max="7" width="5.1640625" style="27" customWidth="1"/>
    <col min="8" max="8" width="11.33203125" style="27" customWidth="1"/>
    <col min="9" max="9" width="10.6640625" style="27" customWidth="1"/>
    <col min="10" max="10" width="1" style="27" customWidth="1"/>
    <col min="11" max="11" width="13.33203125" style="27" customWidth="1"/>
    <col min="12" max="12" width="1" style="27" customWidth="1"/>
    <col min="13" max="13" width="14.33203125" style="29" customWidth="1"/>
    <col min="14" max="14" width="9.1640625" style="29" customWidth="1"/>
    <col min="15" max="15" width="0.5" style="29" customWidth="1"/>
    <col min="16" max="17" width="1.83203125" style="29" customWidth="1"/>
    <col min="18" max="6404" width="1.83203125" style="27" customWidth="1"/>
    <col min="6405" max="16384" width="0.1640625" style="27"/>
  </cols>
  <sheetData>
    <row r="1" spans="2:28" s="28" customFormat="1" ht="15.75" customHeight="1" x14ac:dyDescent="0.2">
      <c r="B1" s="26" t="s">
        <v>6</v>
      </c>
      <c r="C1" s="161"/>
      <c r="D1" s="161"/>
      <c r="E1" s="161"/>
      <c r="F1" s="161"/>
      <c r="G1" s="161"/>
      <c r="H1" s="93"/>
      <c r="I1" s="155" t="s">
        <v>94</v>
      </c>
      <c r="J1" s="156"/>
      <c r="K1" s="157"/>
      <c r="L1" s="92"/>
      <c r="M1" s="92"/>
    </row>
    <row r="2" spans="2:28" s="28" customFormat="1" ht="15.75" customHeight="1" x14ac:dyDescent="0.2">
      <c r="B2" s="26" t="s">
        <v>7</v>
      </c>
      <c r="C2" s="162" t="str">
        <f>IF(B8="","",DAY(B8)&amp;"/"&amp;MONTH(B8)&amp;"/"&amp;YEAR(B8)&amp;"   to   "&amp;DAY(B56)&amp;"/"&amp;MONTH(B56)&amp;"/"&amp;YEAR(B56))</f>
        <v>24/6/2024   to   30/6/2024</v>
      </c>
      <c r="D2" s="162"/>
      <c r="E2" s="162"/>
      <c r="F2" s="162"/>
      <c r="G2" s="162"/>
      <c r="H2" s="29"/>
      <c r="I2" s="26" t="s">
        <v>75</v>
      </c>
      <c r="J2" s="158"/>
      <c r="K2" s="158"/>
      <c r="L2" s="87"/>
      <c r="M2" s="51" t="str" cm="1">
        <f t="array" ref="M2">IF(WeeklyFee="","    Your weekly fee figure will disappear for privacy once","")</f>
        <v>    Your weekly fee figure will disappear for privacy once</v>
      </c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2:28" s="28" customFormat="1" ht="15.75" customHeight="1" x14ac:dyDescent="0.2">
      <c r="B3" s="26" t="s">
        <v>54</v>
      </c>
      <c r="C3" s="163"/>
      <c r="D3" s="163"/>
      <c r="E3" s="30" t="s">
        <v>57</v>
      </c>
      <c r="F3" s="25"/>
      <c r="G3" s="31"/>
      <c r="H3" s="27"/>
      <c r="I3" s="26" t="s">
        <v>78</v>
      </c>
      <c r="J3" s="167" t="s">
        <v>74</v>
      </c>
      <c r="K3" s="167"/>
      <c r="L3" s="68"/>
      <c r="M3" s="51" t="str" cm="1">
        <f t="array" ref="M3">IF(WeeklyFee="","    entered. It is used for some rate calculations.","")</f>
        <v>    entered. It is used for some rate calculations.</v>
      </c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</row>
    <row r="4" spans="2:28" s="28" customFormat="1" ht="15.75" customHeight="1" x14ac:dyDescent="0.2">
      <c r="B4" s="52" t="s">
        <v>85</v>
      </c>
      <c r="C4" s="69"/>
      <c r="D4" s="29"/>
      <c r="E4" s="62"/>
      <c r="F4" s="29"/>
      <c r="G4" s="29"/>
      <c r="H4" s="27"/>
      <c r="I4" s="61"/>
      <c r="J4" s="52"/>
      <c r="K4" s="52" t="str">
        <f>IF(WeeklyFee&gt;0,"(fee entered above)","")</f>
        <v/>
      </c>
      <c r="L4" s="51"/>
      <c r="M4" s="70"/>
      <c r="N4" s="51"/>
    </row>
    <row r="5" spans="2:28" s="28" customFormat="1" ht="12" customHeight="1" thickBot="1" x14ac:dyDescent="0.25">
      <c r="B5" s="27" t="s">
        <v>96</v>
      </c>
      <c r="C5" s="27"/>
      <c r="D5" s="81"/>
      <c r="E5" s="81"/>
      <c r="F5" s="81"/>
      <c r="G5" s="171" t="s">
        <v>89</v>
      </c>
      <c r="H5" s="172"/>
      <c r="I5" s="172"/>
      <c r="J5" s="173"/>
      <c r="K5" s="173"/>
      <c r="L5" s="174"/>
      <c r="M5" s="175"/>
      <c r="N5" s="176"/>
    </row>
    <row r="6" spans="2:28" s="26" customFormat="1" ht="17" thickBot="1" x14ac:dyDescent="0.25">
      <c r="B6" s="53" t="s">
        <v>8</v>
      </c>
      <c r="C6" s="53" t="s">
        <v>9</v>
      </c>
      <c r="D6" s="53" t="s">
        <v>12</v>
      </c>
      <c r="E6" s="53" t="s">
        <v>13</v>
      </c>
      <c r="F6" s="54" t="s">
        <v>2</v>
      </c>
      <c r="G6" s="55" t="s">
        <v>1</v>
      </c>
      <c r="H6" s="53" t="s">
        <v>40</v>
      </c>
      <c r="I6" s="53" t="s">
        <v>11</v>
      </c>
      <c r="J6" s="110"/>
      <c r="K6" s="111"/>
      <c r="L6" s="112"/>
      <c r="M6" s="159"/>
      <c r="N6" s="160"/>
      <c r="Q6" s="32"/>
    </row>
    <row r="7" spans="2:28" x14ac:dyDescent="0.2">
      <c r="B7" s="2">
        <f>IF(B8="","",B8)</f>
        <v>44005</v>
      </c>
      <c r="C7" s="3"/>
      <c r="D7" s="8"/>
      <c r="E7" s="8"/>
      <c r="F7" s="72">
        <f>IF(OR(D7=0,E7=0),,HOUR(E7-D7+"24:00")+CEILING(MINUTE(E7-D7+"24:00")/60,0.25))</f>
        <v>0</v>
      </c>
      <c r="G7" s="4"/>
      <c r="H7" s="5"/>
      <c r="I7" s="6" cm="1">
        <f t="array" ref="I7" xml:space="preserve">
IF(H7&lt;=0,0,
IF(OR(G7="O", G7="T1",AND(TYA="No",OR(G7="T2N",G7="T3"))),(CEILING(H7,0.5)-0.5)/0.5*Reg_Subs+Reg_First,
IF(G7="M",MIN((CEILING(H7,0.5)-0.5)/0.5,10)*Double_Subs+Double_First + N("MIN 10 kludge to avoid removing cap"),
IF(G7="F",MAX(WeeklyFee/7,4*FreeRate,ROUNDUP(H7,0)*FreeRate),
IF(G7="R",IF(CEILING(H7,0.5)=0.5,RehPerfRate_1,IF(CEILING(H7,0.5)=1,RehPerfRate_2+RehPerfRate_1,IF(CEILING(H7,0.5)&gt;=1.5,RehPerfRate_3+RehPerfRate_2+RehPerfRate_1))),
IF(G7="P",(MIN(((CEILING(H7,0.5)-0.5)/0.5),2)*PerfPerfRate_subs)+PerfPerfRate_first,
IF(OR(G7="N",AND(TYA="NO",G7="T2R")),(INT((H7)/1)*ON_subs)+MAX(MOD(H7,0.5),1)*ON_first,
IF(G7="S",CEILING(H7,0.5)/0.5*SpanRate,
IF(G7="E",ROUNDUP(H7,0)*EmergFreeRate,)))))))))</f>
        <v>0</v>
      </c>
      <c r="J7" s="113">
        <f>SUM($F$7:F7)</f>
        <v>0</v>
      </c>
      <c r="K7" s="114" t="s">
        <v>26</v>
      </c>
      <c r="L7" s="115"/>
      <c r="M7" s="94"/>
      <c r="N7" s="88"/>
    </row>
    <row r="8" spans="2:28" x14ac:dyDescent="0.2">
      <c r="B8" s="135">
        <v>44005</v>
      </c>
      <c r="C8" s="7"/>
      <c r="D8" s="8"/>
      <c r="E8" s="8"/>
      <c r="F8" s="72">
        <f>IF(OR(D8=0,E8=0),,HOUR(E8-D8+"24:00")+CEILING(MINUTE(E8-D8+"24:00")/60,0.25))</f>
        <v>0</v>
      </c>
      <c r="G8" s="14"/>
      <c r="H8" s="9"/>
      <c r="I8" s="6" cm="1">
        <f t="array" ref="I8" xml:space="preserve">
IF(H8&lt;=0,0,
IF(OR(G8="O",G8="T1",AND(TYA="No",OR(G8="T2N",G8="T3"))),IF(OR(SUM(IF($G$7:$G7="O",$I$7:$I7,0))+SUM(IF($G$7:$G7="T1",$I$7:$I7,0))+SUM(IF($G$7:$G7="T2N",$I$7:$I7,0))+SUM(IF($G$7:$G7="T3",$I$7:$I7,0))=0),(CEILING(H8,0.5)-0.5)/0.5*Reg_Subs+Reg_First,CEILING(H8,0.5)/0.5*Reg_Subs),
IF(G8="M",MIN((CEILING(H8,0.5)-0.5)/0.5,10)*Double_Subs+Double_First + N("MIN 10 kludge to avoid removing cap"),
IF(G8="F",MAX(WeeklyFee/7,4*FreeRate,ROUNDUP(H8,0)*FreeRate),
IF(G8="R",IF(CEILING(H8,0.5)=0.5,RehPerfRate_1,IF(CEILING(H8,0.5)=1,RehPerfRate_2+RehPerfRate_1,IF(CEILING(H8,0.5)&gt;=1.5,RehPerfRate_3+RehPerfRate_2+RehPerfRate_1))),
IF(G8="P",(MIN(((CEILING(H8,0.5)-0.5)/0.5),2)*PerfPerfRate_subs)+PerfPerfRate_first,
IF(OR(G8="N",AND(TYA="NO",G8="T2R")),(INT((H8)/1)*ON_subs)+MAX(MOD(H8,0.5),1)*ON_first,
IF(G8="S",CEILING(H8,0.5)/0.5*SpanRate,
IF(G8="E",ROUNDUP(H8,0)*EmergFreeRate,)))))))))</f>
        <v>0</v>
      </c>
      <c r="J8" s="113">
        <f>SUM($F$7:F8)</f>
        <v>0</v>
      </c>
      <c r="K8" s="114" t="s">
        <v>24</v>
      </c>
      <c r="L8" s="115"/>
      <c r="M8" s="95"/>
      <c r="N8" s="89"/>
    </row>
    <row r="9" spans="2:28" x14ac:dyDescent="0.2">
      <c r="B9" s="56"/>
      <c r="C9" s="7"/>
      <c r="D9" s="8"/>
      <c r="E9" s="8"/>
      <c r="F9" s="72">
        <f>IF(OR(D9=0,E9=0),,HOUR(E9-D9+"24:00")+CEILING(MINUTE(E9-D9+"24:00")/60,0.25))</f>
        <v>0</v>
      </c>
      <c r="G9" s="4"/>
      <c r="H9" s="9"/>
      <c r="I9" s="6" cm="1">
        <f t="array" ref="I9" xml:space="preserve">
IF(H9&lt;=0,0,
IF(OR(G9="O",G9="T1",AND(TYA="No",OR(G9="T2N",G9="T3"))),IF(OR(SUM(IF($G$7:$G8="O",$I$7:$I8,0))+SUM(IF($G$7:$G8="T1",$I$7:$I8,0))+SUM(IF($G$7:$G8="T2N",$I$7:$I8,0))+SUM(IF($G$7:$G8="T3",$I$7:$I8,0))=0),(CEILING(H9,0.5)-0.5)/0.5*Reg_Subs+Reg_First,CEILING(H9,0.5)/0.5*Reg_Subs),
IF(G9="M",MIN((CEILING(H9,0.5)-0.5)/0.5,10)*Double_Subs+Double_First + N("MIN 10 kludge to avoid removing cap"),
IF(G9="F",MAX(WeeklyFee/7,4*FreeRate,ROUNDUP(H9,0)*FreeRate),
IF(G9="R",IF(CEILING(H9,0.5)=0.5,RehPerfRate_1,IF(CEILING(H9,0.5)=1,RehPerfRate_2+RehPerfRate_1,IF(CEILING(H9,0.5)&gt;=1.5,RehPerfRate_3+RehPerfRate_2+RehPerfRate_1))),
IF(G9="P",(MIN(((CEILING(H9,0.5)-0.5)/0.5),2)*PerfPerfRate_subs)+PerfPerfRate_first,
IF(OR(G9="N",AND(TYA="NO",G9="T2R")),(INT((H9)/1)*ON_subs)+MAX(MOD(H9,0.5),1)*ON_first,
IF(G9="S",CEILING(H9,0.5)/0.5*SpanRate,
IF(G9="E",ROUNDUP(H9,0)*EmergFreeRate,)))))))))</f>
        <v>0</v>
      </c>
      <c r="J9" s="113">
        <f>SUM($F$7:F9)</f>
        <v>0</v>
      </c>
      <c r="K9" s="116" t="s">
        <v>50</v>
      </c>
      <c r="L9" s="115"/>
      <c r="M9" s="95"/>
      <c r="N9" s="89"/>
    </row>
    <row r="10" spans="2:28" x14ac:dyDescent="0.2">
      <c r="B10" s="56"/>
      <c r="C10" s="7"/>
      <c r="D10" s="8"/>
      <c r="E10" s="8"/>
      <c r="F10" s="72">
        <f>IF(OR(D10=0,E10=0),,HOUR(E10-D10+"24:00")+CEILING(MINUTE(E10-D10+"24:00")/60,0.25))</f>
        <v>0</v>
      </c>
      <c r="G10" s="4"/>
      <c r="H10" s="9"/>
      <c r="I10" s="6" cm="1">
        <f t="array" ref="I10" xml:space="preserve">
IF(H10&lt;=0,0,
IF(OR(G10="O",G10="T1",AND(TYA="No",OR(G10="T2N",G10="T3"))),IF(OR(SUM(IF($G$7:$G9="O",$I$7:$I9,0))+SUM(IF($G$7:$G9="T1",$I$7:$I9,0))+SUM(IF($G$7:$G9="T2N",$I$7:$I9,0))+SUM(IF($G$7:$G9="T3",$I$7:$I9,0))=0),(CEILING(H10,0.5)-0.5)/0.5*Reg_Subs+Reg_First,CEILING(H10,0.5)/0.5*Reg_Subs),
IF(G10="M",MIN((CEILING(H10,0.5)-0.5)/0.5,10)*Double_Subs+Double_First + N("MIN 10 kludge to avoid removing cap"),
IF(G10="F",MAX(WeeklyFee/7,4*FreeRate,ROUNDUP(H10,0)*FreeRate),
IF(G10="R",IF(CEILING(H10,0.5)=0.5,RehPerfRate_1,IF(CEILING(H10,0.5)=1,RehPerfRate_2+RehPerfRate_1,IF(CEILING(H10,0.5)&gt;=1.5,RehPerfRate_3+RehPerfRate_2+RehPerfRate_1))),
IF(G10="P",(MIN(((CEILING(H10,0.5)-0.5)/0.5),2)*PerfPerfRate_subs)+PerfPerfRate_first,
IF(OR(G10="N",AND(TYA="NO",G10="T2R")),(INT((H10)/1)*ON_subs)+MAX(MOD(H10,0.5),1)*ON_first,
IF(G10="S",CEILING(H10,0.5)/0.5*SpanRate,
IF(G10="E",ROUNDUP(H10,0)*EmergFreeRate,)))))))))</f>
        <v>0</v>
      </c>
      <c r="J10" s="113">
        <f>SUM($F$7:F10)</f>
        <v>0</v>
      </c>
      <c r="K10" s="116" t="s">
        <v>31</v>
      </c>
      <c r="L10" s="115"/>
      <c r="M10" s="95"/>
      <c r="N10" s="90"/>
    </row>
    <row r="11" spans="2:28" x14ac:dyDescent="0.2">
      <c r="B11" s="56"/>
      <c r="C11" s="7"/>
      <c r="D11" s="8"/>
      <c r="E11" s="8"/>
      <c r="F11" s="72">
        <f t="shared" ref="F11:F62" si="0">IF(OR(D11=0,E11=0),,HOUR(E11-D11+"24:00")+CEILING(MINUTE(E11-D11+"24:00")/60,0.25))</f>
        <v>0</v>
      </c>
      <c r="G11" s="4"/>
      <c r="H11" s="9"/>
      <c r="I11" s="6" cm="1">
        <f t="array" ref="I11" xml:space="preserve">
IF(H11&lt;=0,0,
IF(OR(G11="O",G11="T1",AND(TYA="No",OR(G11="T2N",G11="T3"))),IF(OR(SUM(IF($G$7:$G10="O",$I$7:$I10,0))+SUM(IF($G$7:$G10="T1",$I$7:$I10,0))+SUM(IF($G$7:$G10="T2N",$I$7:$I10,0))+SUM(IF($G$7:$G10="T3",$I$7:$I10,0))=0),(CEILING(H11,0.5)-0.5)/0.5*Reg_Subs+Reg_First,CEILING(H11,0.5)/0.5*Reg_Subs),
IF(G11="M",MIN((CEILING(H11,0.5)-0.5)/0.5,10)*Double_Subs+Double_First + N("MIN 10 kludge to avoid removing cap"),
IF(G11="F",MAX(WeeklyFee/7,4*FreeRate,ROUNDUP(H11,0)*FreeRate),
IF(G11="R",IF(CEILING(H11,0.5)=0.5,RehPerfRate_1,IF(CEILING(H11,0.5)=1,RehPerfRate_2+RehPerfRate_1,IF(CEILING(H11,0.5)&gt;=1.5,RehPerfRate_3+RehPerfRate_2+RehPerfRate_1))),
IF(G11="P",(MIN(((CEILING(H11,0.5)-0.5)/0.5),2)*PerfPerfRate_subs)+PerfPerfRate_first,
IF(OR(G11="N",AND(TYA="NO",G11="T2R")),(INT((H11)/1)*ON_subs)+MAX(MOD(H11,0.5),1)*ON_first,
IF(G11="S",CEILING(H11,0.5)/0.5*SpanRate,
IF(G11="E",ROUNDUP(H11,0)*EmergFreeRate,)))))))))</f>
        <v>0</v>
      </c>
      <c r="J11" s="113">
        <f>SUM($F$7:F11)</f>
        <v>0</v>
      </c>
      <c r="K11" s="116"/>
      <c r="L11" s="115"/>
      <c r="M11" s="95"/>
      <c r="N11" s="90"/>
    </row>
    <row r="12" spans="2:28" x14ac:dyDescent="0.2">
      <c r="B12" s="56"/>
      <c r="C12" s="7"/>
      <c r="D12" s="8"/>
      <c r="E12" s="8"/>
      <c r="F12" s="72">
        <f t="shared" si="0"/>
        <v>0</v>
      </c>
      <c r="G12" s="4"/>
      <c r="H12" s="9"/>
      <c r="I12" s="6" cm="1">
        <f t="array" ref="I12" xml:space="preserve">
IF(H12&lt;=0,0,
IF(OR(G12="O",G12="T1",AND(TYA="No",OR(G12="T2N",G12="T3"))),IF(OR(SUM(IF($G$7:$G11="O",$I$7:$I11,0))+SUM(IF($G$7:$G11="T1",$I$7:$I11,0))+SUM(IF($G$7:$G11="T2N",$I$7:$I11,0))+SUM(IF($G$7:$G11="T3",$I$7:$I11,0))=0),(CEILING(H12,0.5)-0.5)/0.5*Reg_Subs+Reg_First,CEILING(H12,0.5)/0.5*Reg_Subs),
IF(G12="M",MIN((CEILING(H12,0.5)-0.5)/0.5,10)*Double_Subs+Double_First + N("MIN 10 kludge to avoid removing cap"),
IF(G12="F",MAX(WeeklyFee/7,4*FreeRate,ROUNDUP(H12,0)*FreeRate),
IF(G12="R",IF(CEILING(H12,0.5)=0.5,RehPerfRate_1,IF(CEILING(H12,0.5)=1,RehPerfRate_2+RehPerfRate_1,IF(CEILING(H12,0.5)&gt;=1.5,RehPerfRate_3+RehPerfRate_2+RehPerfRate_1))),
IF(G12="P",(MIN(((CEILING(H12,0.5)-0.5)/0.5),2)*PerfPerfRate_subs)+PerfPerfRate_first,
IF(OR(G12="N",AND(TYA="NO",G12="T2R")),(INT((H12)/1)*ON_subs)+MAX(MOD(H12,0.5),1)*ON_first,
IF(G12="S",CEILING(H12,0.5)/0.5*SpanRate,
IF(G12="E",ROUNDUP(H12,0)*EmergFreeRate,)))))))))</f>
        <v>0</v>
      </c>
      <c r="J12" s="113">
        <f>SUM($F$7:F12)</f>
        <v>0</v>
      </c>
      <c r="K12" s="114" t="s">
        <v>32</v>
      </c>
      <c r="L12" s="115"/>
      <c r="M12" s="95"/>
      <c r="N12" s="90"/>
    </row>
    <row r="13" spans="2:28" x14ac:dyDescent="0.2">
      <c r="B13" s="56"/>
      <c r="C13" s="7"/>
      <c r="D13" s="8"/>
      <c r="E13" s="8"/>
      <c r="F13" s="72">
        <f t="shared" si="0"/>
        <v>0</v>
      </c>
      <c r="G13" s="4"/>
      <c r="H13" s="9"/>
      <c r="I13" s="6" cm="1">
        <f t="array" ref="I13" xml:space="preserve">
IF(H13&lt;=0,0,
IF(OR(G13="O",G13="T1",AND(TYA="No",OR(G13="T2N",G13="T3"))),IF(OR(SUM(IF($G$7:$G12="O",$I$7:$I12,0))+SUM(IF($G$7:$G12="T1",$I$7:$I12,0))+SUM(IF($G$7:$G12="T2N",$I$7:$I12,0))+SUM(IF($G$7:$G12="T3",$I$7:$I12,0))=0),(CEILING(H13,0.5)-0.5)/0.5*Reg_Subs+Reg_First,CEILING(H13,0.5)/0.5*Reg_Subs),
IF(G13="M",MIN((CEILING(H13,0.5)-0.5)/0.5,10)*Double_Subs+Double_First + N("MIN 10 kludge to avoid removing cap"),
IF(G13="F",MAX(WeeklyFee/7,4*FreeRate,ROUNDUP(H13,0)*FreeRate),
IF(G13="R",IF(CEILING(H13,0.5)=0.5,RehPerfRate_1,IF(CEILING(H13,0.5)=1,RehPerfRate_2+RehPerfRate_1,IF(CEILING(H13,0.5)&gt;=1.5,RehPerfRate_3+RehPerfRate_2+RehPerfRate_1))),
IF(G13="P",(MIN(((CEILING(H13,0.5)-0.5)/0.5),2)*PerfPerfRate_subs)+PerfPerfRate_first,
IF(OR(G13="N",AND(TYA="NO",G13="T2R")),(INT((H13)/1)*ON_subs)+MAX(MOD(H13,0.5),1)*ON_first,
IF(G13="S",CEILING(H13,0.5)/0.5*SpanRate,
IF(G13="E",ROUNDUP(H13,0)*EmergFreeRate,)))))))))</f>
        <v>0</v>
      </c>
      <c r="J13" s="113">
        <f>SUM($F$7:F13)</f>
        <v>0</v>
      </c>
      <c r="K13" s="114" t="s">
        <v>24</v>
      </c>
      <c r="L13" s="115"/>
      <c r="M13" s="95"/>
      <c r="N13" s="90"/>
    </row>
    <row r="14" spans="2:28" ht="17" thickBot="1" x14ac:dyDescent="0.25">
      <c r="B14" s="57"/>
      <c r="C14" s="10"/>
      <c r="D14" s="11"/>
      <c r="E14" s="11"/>
      <c r="F14" s="73">
        <f t="shared" si="0"/>
        <v>0</v>
      </c>
      <c r="G14" s="1"/>
      <c r="H14" s="12"/>
      <c r="I14" s="13" cm="1">
        <f t="array" ref="I14" xml:space="preserve">
IF(H14&lt;=0,0,
IF(OR(G14="O",G14="T1",AND(TYA="No",OR(G14="T2N",G14="T3"))),IF(OR(SUM(IF($G$7:$G13="O",$I$7:$I13,0))+SUM(IF($G$7:$G13="T1",$I$7:$I13,0))+SUM(IF($G$7:$G13="T2N",$I$7:$I13,0))+SUM(IF($G$7:$G13="T3",$I$7:$I13,0))=0),(CEILING(H14,0.5)-0.5)/0.5*Reg_Subs+Reg_First,CEILING(H14,0.5)/0.5*Reg_Subs),
IF(G14="M",MIN((CEILING(H14,0.5)-0.5)/0.5,10)*Double_Subs+Double_First + N("MIN 10 kludge to avoid removing cap"),
IF(G14="F",MAX(WeeklyFee/7,4*FreeRate,ROUNDUP(H14,0)*FreeRate),
IF(G14="R",IF(CEILING(H14,0.5)=0.5,RehPerfRate_1,IF(CEILING(H14,0.5)=1,RehPerfRate_2+RehPerfRate_1,IF(CEILING(H14,0.5)&gt;=1.5,RehPerfRate_3+RehPerfRate_2+RehPerfRate_1))),
IF(G14="P",(MIN(((CEILING(H14,0.5)-0.5)/0.5),2)*PerfPerfRate_subs)+PerfPerfRate_first,
IF(OR(G14="N",AND(TYA="NO",G14="T2R")),(INT((H14)/1)*ON_subs)+MAX(MOD(H14,0.5),1)*ON_first,
IF(G14="S",CEILING(H14,0.5)/0.5*SpanRate,
IF(G14="E",ROUNDUP(H14,0)*EmergFreeRate,)))))))))</f>
        <v>0</v>
      </c>
      <c r="J14" s="113">
        <f>SUM($F$7:F14)</f>
        <v>0</v>
      </c>
      <c r="K14" s="116" t="s">
        <v>51</v>
      </c>
      <c r="L14" s="115"/>
      <c r="M14" s="94"/>
      <c r="N14" s="90"/>
    </row>
    <row r="15" spans="2:28" x14ac:dyDescent="0.2">
      <c r="B15" s="2">
        <f>IF(B16="","",B16)</f>
        <v>44006</v>
      </c>
      <c r="C15" s="3"/>
      <c r="D15" s="80"/>
      <c r="E15" s="80"/>
      <c r="F15" s="72">
        <f t="shared" si="0"/>
        <v>0</v>
      </c>
      <c r="G15" s="4"/>
      <c r="H15" s="5"/>
      <c r="I15" s="6" cm="1">
        <f t="array" ref="I15" xml:space="preserve">
IF(H15&lt;=0,0,
IF(OR(G15="O", G15="T1",AND(TYA="No",OR(G15="T2N",G15="T3"))),(CEILING(H15,0.5)-0.5)/0.5*Reg_Subs+Reg_First,
IF(G15="M",MIN((CEILING(H15,0.5)-0.5)/0.5,10)*Double_Subs+Double_First + N("MIN 10 kludge to avoid removing cap"),
IF(G15="F",MAX(WeeklyFee/7,4*FreeRate,ROUNDUP(H15,0)*FreeRate),
IF(G15="R",IF(CEILING(H15,0.5)=0.5,RehPerfRate_1,IF(CEILING(H15,0.5)=1,RehPerfRate_2+RehPerfRate_1,IF(CEILING(H15,0.5)&gt;=1.5,RehPerfRate_3+RehPerfRate_2+RehPerfRate_1))),
IF(G15="P",(MIN(((CEILING(H15,0.5)-0.5)/0.5),2)*PerfPerfRate_subs)+PerfPerfRate_first,
IF(OR(G15="N",AND(TYA="NO",G15="T2R")),(INT((H15)/1)*ON_subs)+MAX(MOD(H15,0.5),1)*ON_first,
IF(G15="S",CEILING(H15,0.5)/0.5*SpanRate,
IF(G15="E",ROUNDUP(H15,0)*EmergFreeRate,)))))))))</f>
        <v>0</v>
      </c>
      <c r="J15" s="113">
        <f>SUM($F$7:F15)</f>
        <v>0</v>
      </c>
      <c r="K15" s="116" t="s">
        <v>47</v>
      </c>
      <c r="L15" s="115"/>
      <c r="M15" s="94"/>
      <c r="N15" s="88"/>
    </row>
    <row r="16" spans="2:28" x14ac:dyDescent="0.2">
      <c r="B16" s="136">
        <f>IF(B8="","",B8+1)</f>
        <v>44006</v>
      </c>
      <c r="C16" s="7"/>
      <c r="D16" s="8"/>
      <c r="E16" s="8"/>
      <c r="F16" s="72">
        <f t="shared" si="0"/>
        <v>0</v>
      </c>
      <c r="G16" s="14"/>
      <c r="H16" s="9"/>
      <c r="I16" s="6" cm="1">
        <f t="array" ref="I16" xml:space="preserve">
IF(H16&lt;=0,0,
IF(OR(G16="O",G16="T1",AND(TYA="No",OR(G16="T2N",G16="T3"))),IF(OR(SUM(IF($G$15:$G15="O",$I$15:$I15,0))+SUM(IF($G$15:$G15="T1",$I$15:$I15,0))+SUM(IF($G$15:$G15="T2N",$I$15:$I15,0))+SUM(IF($G$15:$G15="T3",$I$15:$I15,0))=0),(CEILING(H16,0.5)-0.5)/0.5*Reg_Subs+Reg_First,CEILING(H16,0.5)/0.5*Reg_Subs),
IF(G16="M",MIN((CEILING(H16,0.5)-0.5)/0.5,10)*Double_Subs+Double_First + N("MIN 10 kludge to avoid removing cap"),
IF(G16="F",MAX(WeeklyFee/7,4*FreeRate,ROUNDUP(H16,0)*FreeRate),
IF(G16="R",IF(CEILING(H16,0.5)=0.5,RehPerfRate_1,IF(CEILING(H16,0.5)=1,RehPerfRate_2+RehPerfRate_1,IF(CEILING(H16,0.5)&gt;=1.5,RehPerfRate_3+RehPerfRate_2+RehPerfRate_1))),
IF(G16="P",(MIN(((CEILING(H16,0.5)-0.5)/0.5),2)*PerfPerfRate_subs)+PerfPerfRate_first,
IF(OR(G16="N",AND(TYA="NO",G16="T2R")),(INT((H16)/1)*ON_subs)+MAX(MOD(H16,0.5),1)*ON_first,
IF(G16="S",CEILING(H16,0.5)/0.5*SpanRate,
IF(G16="E",ROUNDUP(H16,0)*EmergFreeRate,)))))))))</f>
        <v>0</v>
      </c>
      <c r="J16" s="113">
        <f>SUM($F$7:F16)</f>
        <v>0</v>
      </c>
      <c r="K16" s="116" t="s">
        <v>25</v>
      </c>
      <c r="L16" s="115"/>
      <c r="M16" s="95"/>
      <c r="N16" s="89"/>
    </row>
    <row r="17" spans="2:21" x14ac:dyDescent="0.2">
      <c r="B17" s="56"/>
      <c r="C17" s="7"/>
      <c r="D17" s="8"/>
      <c r="E17" s="8"/>
      <c r="F17" s="72">
        <f t="shared" si="0"/>
        <v>0</v>
      </c>
      <c r="G17" s="4"/>
      <c r="H17" s="9"/>
      <c r="I17" s="6" cm="1">
        <f t="array" ref="I17" xml:space="preserve">
IF(H17&lt;=0,0,
IF(OR(G17="O",G17="T1",AND(TYA="No",OR(G17="T2N",G17="T3"))),IF(OR(SUM(IF($G$15:$G16="O",$I$15:$I16,0))+SUM(IF($G$15:$G16="T1",$I$15:$I16,0))+SUM(IF($G$15:$G16="T2N",$I$15:$I16,0))+SUM(IF($G$15:$G16="T3",$I$15:$I16,0))=0),(CEILING(H17,0.5)-0.5)/0.5*Reg_Subs+Reg_First,CEILING(H17,0.5)/0.5*Reg_Subs),
IF(G17="M",MIN((CEILING(H17,0.5)-0.5)/0.5,10)*Double_Subs+Double_First + N("MIN 10 kludge to avoid removing cap"),
IF(G17="F",MAX(WeeklyFee/7,4*FreeRate,ROUNDUP(H17,0)*FreeRate),
IF(G17="R",IF(CEILING(H17,0.5)=0.5,RehPerfRate_1,IF(CEILING(H17,0.5)=1,RehPerfRate_2+RehPerfRate_1,IF(CEILING(H17,0.5)&gt;=1.5,RehPerfRate_3+RehPerfRate_2+RehPerfRate_1))),
IF(G17="P",(MIN(((CEILING(H17,0.5)-0.5)/0.5),2)*PerfPerfRate_subs)+PerfPerfRate_first,
IF(OR(G17="N",AND(TYA="NO",G17="T2R")),(INT((H17)/1)*ON_subs)+MAX(MOD(H17,0.5),1)*ON_first,
IF(G17="S",CEILING(H17,0.5)/0.5*SpanRate,
IF(G17="E",ROUNDUP(H17,0)*EmergFreeRate,)))))))))</f>
        <v>0</v>
      </c>
      <c r="J17" s="113">
        <f>SUM($F$7:F17)</f>
        <v>0</v>
      </c>
      <c r="K17" s="116" t="s">
        <v>52</v>
      </c>
      <c r="L17" s="115"/>
      <c r="M17" s="95"/>
      <c r="N17" s="89"/>
    </row>
    <row r="18" spans="2:21" x14ac:dyDescent="0.2">
      <c r="B18" s="56"/>
      <c r="C18" s="7"/>
      <c r="D18" s="8"/>
      <c r="E18" s="8"/>
      <c r="F18" s="72">
        <f t="shared" si="0"/>
        <v>0</v>
      </c>
      <c r="G18" s="4"/>
      <c r="H18" s="9"/>
      <c r="I18" s="6" cm="1">
        <f t="array" ref="I18" xml:space="preserve">
IF(H18&lt;=0,0,
IF(OR(G18="O",G18="T1",AND(TYA="No",OR(G18="T2N",G18="T3"))),IF(OR(SUM(IF($G$15:$G17="O",$I$15:$I17,0))+SUM(IF($G$15:$G17="T1",$I$15:$I17,0))+SUM(IF($G$15:$G17="T2N",$I$15:$I17,0))+SUM(IF($G$15:$G17="T3",$I$15:$I17,0))=0),(CEILING(H18,0.5)-0.5)/0.5*Reg_Subs+Reg_First,CEILING(H18,0.5)/0.5*Reg_Subs),
IF(G18="M",MIN((CEILING(H18,0.5)-0.5)/0.5,10)*Double_Subs+Double_First + N("MIN 10 kludge to avoid removing cap"),
IF(G18="F",MAX(WeeklyFee/7,4*FreeRate,ROUNDUP(H18,0)*FreeRate),
IF(G18="R",IF(CEILING(H18,0.5)=0.5,RehPerfRate_1,IF(CEILING(H18,0.5)=1,RehPerfRate_2+RehPerfRate_1,IF(CEILING(H18,0.5)&gt;=1.5,RehPerfRate_3+RehPerfRate_2+RehPerfRate_1))),
IF(G18="P",(MIN(((CEILING(H18,0.5)-0.5)/0.5),2)*PerfPerfRate_subs)+PerfPerfRate_first,
IF(OR(G18="N",AND(TYA="NO",G18="T2R")),(INT((H18)/1)*ON_subs)+MAX(MOD(H18,0.5),1)*ON_first,
IF(G18="S",CEILING(H18,0.5)/0.5*SpanRate,
IF(G18="E",ROUNDUP(H18,0)*EmergFreeRate,)))))))))</f>
        <v>0</v>
      </c>
      <c r="J18" s="113">
        <f>SUM($F$7:F18)</f>
        <v>0</v>
      </c>
      <c r="K18" s="116" t="s">
        <v>33</v>
      </c>
      <c r="L18" s="115"/>
      <c r="M18" s="95"/>
      <c r="N18" s="90"/>
    </row>
    <row r="19" spans="2:21" x14ac:dyDescent="0.2">
      <c r="B19" s="56"/>
      <c r="C19" s="7"/>
      <c r="D19" s="8"/>
      <c r="E19" s="8"/>
      <c r="F19" s="72">
        <f t="shared" si="0"/>
        <v>0</v>
      </c>
      <c r="G19" s="4"/>
      <c r="H19" s="9"/>
      <c r="I19" s="6" cm="1">
        <f t="array" ref="I19" xml:space="preserve">
IF(H19&lt;=0,0,
IF(OR(G19="O",G19="T1",AND(TYA="No",OR(G19="T2N",G19="T3"))),IF(OR(SUM(IF($G$15:$G18="O",$I$15:$I18,0))+SUM(IF($G$15:$G18="T1",$I$15:$I18,0))+SUM(IF($G$15:$G18="T2N",$I$15:$I18,0))+SUM(IF($G$15:$G18="T3",$I$15:$I18,0))=0),(CEILING(H19,0.5)-0.5)/0.5*Reg_Subs+Reg_First,CEILING(H19,0.5)/0.5*Reg_Subs),
IF(G19="M",MIN((CEILING(H19,0.5)-0.5)/0.5,10)*Double_Subs+Double_First + N("MIN 10 kludge to avoid removing cap"),
IF(G19="F",MAX(WeeklyFee/7,4*FreeRate,ROUNDUP(H19,0)*FreeRate),
IF(G19="R",IF(CEILING(H19,0.5)=0.5,RehPerfRate_1,IF(CEILING(H19,0.5)=1,RehPerfRate_2+RehPerfRate_1,IF(CEILING(H19,0.5)&gt;=1.5,RehPerfRate_3+RehPerfRate_2+RehPerfRate_1))),
IF(G19="P",(MIN(((CEILING(H19,0.5)-0.5)/0.5),2)*PerfPerfRate_subs)+PerfPerfRate_first,
IF(OR(G19="N",AND(TYA="NO",G19="T2R")),(INT((H19)/1)*ON_subs)+MAX(MOD(H19,0.5),1)*ON_first,
IF(G19="S",CEILING(H19,0.5)/0.5*SpanRate,
IF(G19="E",ROUNDUP(H19,0)*EmergFreeRate,)))))))))</f>
        <v>0</v>
      </c>
      <c r="J19" s="113">
        <f>SUM($F$7:F19)</f>
        <v>0</v>
      </c>
      <c r="K19" s="117" t="s">
        <v>60</v>
      </c>
      <c r="L19" s="115"/>
      <c r="M19" s="95"/>
      <c r="N19" s="90"/>
    </row>
    <row r="20" spans="2:21" x14ac:dyDescent="0.2">
      <c r="B20" s="56"/>
      <c r="C20" s="7"/>
      <c r="D20" s="8"/>
      <c r="E20" s="8"/>
      <c r="F20" s="72">
        <f t="shared" si="0"/>
        <v>0</v>
      </c>
      <c r="G20" s="4"/>
      <c r="H20" s="9"/>
      <c r="I20" s="6" cm="1">
        <f t="array" ref="I20" xml:space="preserve">
IF(H20&lt;=0,0,
IF(OR(G20="O",G20="T1",AND(TYA="No",OR(G20="T2N",G20="T3"))),IF(OR(SUM(IF($G$15:$G19="O",$I$15:$I19,0))+SUM(IF($G$15:$G19="T1",$I$15:$I19,0))+SUM(IF($G$15:$G19="T2N",$I$15:$I19,0))+SUM(IF($G$15:$G19="T3",$I$15:$I19,0))=0),(CEILING(H20,0.5)-0.5)/0.5*Reg_Subs+Reg_First,CEILING(H20,0.5)/0.5*Reg_Subs),
IF(G20="M",MIN((CEILING(H20,0.5)-0.5)/0.5,10)*Double_Subs+Double_First + N("MIN 10 kludge to avoid removing cap"),
IF(G20="F",MAX(WeeklyFee/7,4*FreeRate,ROUNDUP(H20,0)*FreeRate),
IF(G20="R",IF(CEILING(H20,0.5)=0.5,RehPerfRate_1,IF(CEILING(H20,0.5)=1,RehPerfRate_2+RehPerfRate_1,IF(CEILING(H20,0.5)&gt;=1.5,RehPerfRate_3+RehPerfRate_2+RehPerfRate_1))),
IF(G20="P",(MIN(((CEILING(H20,0.5)-0.5)/0.5),2)*PerfPerfRate_subs)+PerfPerfRate_first,
IF(OR(G20="N",AND(TYA="NO",G20="T2R")),(INT((H20)/1)*ON_subs)+MAX(MOD(H20,0.5),1)*ON_first,
IF(G20="S",CEILING(H20,0.5)/0.5*SpanRate,
IF(G20="E",ROUNDUP(H20,0)*EmergFreeRate,)))))))))</f>
        <v>0</v>
      </c>
      <c r="J20" s="113">
        <f>SUM($F$7:F20)</f>
        <v>0</v>
      </c>
      <c r="K20" s="118" t="s">
        <v>61</v>
      </c>
      <c r="L20" s="115"/>
      <c r="M20" s="95"/>
      <c r="N20" s="90"/>
      <c r="U20" s="67"/>
    </row>
    <row r="21" spans="2:21" x14ac:dyDescent="0.2">
      <c r="B21" s="56"/>
      <c r="C21" s="7"/>
      <c r="D21" s="8"/>
      <c r="E21" s="8"/>
      <c r="F21" s="72">
        <f t="shared" si="0"/>
        <v>0</v>
      </c>
      <c r="G21" s="4"/>
      <c r="H21" s="9"/>
      <c r="I21" s="6" cm="1">
        <f t="array" ref="I21" xml:space="preserve">
IF(H21&lt;=0,0,
IF(OR(G21="O",G21="T1",AND(TYA="No",OR(G21="T2N",G21="T3"))),IF(OR(SUM(IF($G$15:$G20="O",$I$15:$I20,0))+SUM(IF($G$15:$G20="T1",$I$15:$I20,0))+SUM(IF($G$15:$G20="T2N",$I$15:$I20,0))+SUM(IF($G$15:$G20="T3",$I$15:$I20,0))=0),(CEILING(H21,0.5)-0.5)/0.5*Reg_Subs+Reg_First,CEILING(H21,0.5)/0.5*Reg_Subs),
IF(G21="M",MIN((CEILING(H21,0.5)-0.5)/0.5,10)*Double_Subs+Double_First + N("MIN 10 kludge to avoid removing cap"),
IF(G21="F",MAX(WeeklyFee/7,4*FreeRate,ROUNDUP(H21,0)*FreeRate),
IF(G21="R",IF(CEILING(H21,0.5)=0.5,RehPerfRate_1,IF(CEILING(H21,0.5)=1,RehPerfRate_2+RehPerfRate_1,IF(CEILING(H21,0.5)&gt;=1.5,RehPerfRate_3+RehPerfRate_2+RehPerfRate_1))),
IF(G21="P",(MIN(((CEILING(H21,0.5)-0.5)/0.5),2)*PerfPerfRate_subs)+PerfPerfRate_first,
IF(OR(G21="N",AND(TYA="NO",G21="T2R")),(INT((H21)/1)*ON_subs)+MAX(MOD(H21,0.5),1)*ON_first,
IF(G21="S",CEILING(H21,0.5)/0.5*SpanRate,
IF(G21="E",ROUNDUP(H21,0)*EmergFreeRate,)))))))))</f>
        <v>0</v>
      </c>
      <c r="J21" s="113">
        <f>SUM($F$7:F21)</f>
        <v>0</v>
      </c>
      <c r="K21" s="119"/>
      <c r="L21" s="115"/>
      <c r="M21" s="95"/>
      <c r="N21" s="90"/>
    </row>
    <row r="22" spans="2:21" ht="17" thickBot="1" x14ac:dyDescent="0.25">
      <c r="B22" s="57"/>
      <c r="C22" s="10"/>
      <c r="D22" s="11"/>
      <c r="E22" s="11"/>
      <c r="F22" s="73">
        <f t="shared" si="0"/>
        <v>0</v>
      </c>
      <c r="G22" s="1"/>
      <c r="H22" s="12"/>
      <c r="I22" s="13" cm="1">
        <f t="array" ref="I22" xml:space="preserve">
IF(H22&lt;=0,0,
IF(OR(G22="O",G22="T1",AND(TYA="No",OR(G22="T2N",G22="T3"))),IF(OR(SUM(IF($G$15:$G21="O",$I$15:$I21,0))+SUM(IF($G$15:$G21="T1",$I$15:$I21,0))+SUM(IF($G$15:$G21="T2N",$I$15:$I21,0))+SUM(IF($G$15:$G21="T3",$I$15:$I21,0))=0),(CEILING(H22,0.5)-0.5)/0.5*Reg_Subs+Reg_First,CEILING(H22,0.5)/0.5*Reg_Subs),
IF(G22="M",MIN((CEILING(H22,0.5)-0.5)/0.5,10)*Double_Subs+Double_First + N("MIN 10 kludge to avoid removing cap"),
IF(G22="F",MAX(WeeklyFee/7,4*FreeRate,ROUNDUP(H22,0)*FreeRate),
IF(G22="R",IF(CEILING(H22,0.5)=0.5,RehPerfRate_1,IF(CEILING(H22,0.5)=1,RehPerfRate_2+RehPerfRate_1,IF(CEILING(H22,0.5)&gt;=1.5,RehPerfRate_3+RehPerfRate_2+RehPerfRate_1))),
IF(G22="P",(MIN(((CEILING(H22,0.5)-0.5)/0.5),2)*PerfPerfRate_subs)+PerfPerfRate_first,
IF(OR(G22="N",AND(TYA="NO",G22="T2R")),(INT((H22)/1)*ON_subs)+MAX(MOD(H22,0.5),1)*ON_first,
IF(G22="S",CEILING(H22,0.5)/0.5*SpanRate,
IF(G22="E",ROUNDUP(H22,0)*EmergFreeRate,)))))))))</f>
        <v>0</v>
      </c>
      <c r="J22" s="168" t="s">
        <v>81</v>
      </c>
      <c r="K22" s="169"/>
      <c r="L22" s="170"/>
      <c r="M22" s="94"/>
      <c r="N22" s="90"/>
    </row>
    <row r="23" spans="2:21" x14ac:dyDescent="0.2">
      <c r="B23" s="2">
        <f>IF(B24="","",B24)</f>
        <v>44007</v>
      </c>
      <c r="C23" s="3"/>
      <c r="D23" s="8"/>
      <c r="E23" s="8"/>
      <c r="F23" s="72">
        <f t="shared" si="0"/>
        <v>0</v>
      </c>
      <c r="G23" s="4"/>
      <c r="H23" s="5"/>
      <c r="I23" s="6" cm="1">
        <f t="array" ref="I23" xml:space="preserve">
IF(H23&lt;=0,0,
IF(OR(G23="O", G23="T1",AND(TYA="No",OR(G23="T2N",G23="T3"))),(CEILING(H23,0.5)-0.5)/0.5*Reg_Subs+Reg_First,
IF(G23="M",MIN((CEILING(H23,0.5)-0.5)/0.5,10)*Double_Subs+Double_First + N("MIN 10 kludge to avoid removing cap"),
IF(G23="F",MAX(WeeklyFee/7,4*FreeRate,ROUNDUP(H23,0)*FreeRate),
IF(G23="R",IF(CEILING(H23,0.5)=0.5,RehPerfRate_1,IF(CEILING(H23,0.5)=1,RehPerfRate_2+RehPerfRate_1,IF(CEILING(H23,0.5)&gt;=1.5,RehPerfRate_3+RehPerfRate_2+RehPerfRate_1))),
IF(G23="P",(MIN(((CEILING(H23,0.5)-0.5)/0.5),2)*PerfPerfRate_subs)+PerfPerfRate_first,
IF(OR(G23="N",AND(TYA="NO",G23="T2R")),(INT((H23)/1)*ON_subs)+MAX(MOD(H23,0.5),1)*ON_first,
IF(G23="S",CEILING(H23,0.5)/0.5*SpanRate,
IF(G23="E",ROUNDUP(H23,0)*EmergFreeRate,)))))))))</f>
        <v>0</v>
      </c>
      <c r="J23" s="113">
        <f>SUM($F$7:F23)</f>
        <v>0</v>
      </c>
      <c r="K23" s="114" t="s">
        <v>24</v>
      </c>
      <c r="L23" s="115"/>
      <c r="M23" s="94"/>
      <c r="N23" s="88"/>
    </row>
    <row r="24" spans="2:21" x14ac:dyDescent="0.2">
      <c r="B24" s="136">
        <f>IF(B16="","",B16+1)</f>
        <v>44007</v>
      </c>
      <c r="C24" s="7"/>
      <c r="D24" s="8"/>
      <c r="E24" s="8"/>
      <c r="F24" s="72">
        <f t="shared" si="0"/>
        <v>0</v>
      </c>
      <c r="G24" s="14"/>
      <c r="H24" s="9"/>
      <c r="I24" s="6" cm="1">
        <f t="array" ref="I24" xml:space="preserve">
IF(H24&lt;=0,0,
IF(OR(G24="O",G24="T1",AND(TYA="No",OR(G24="T2N",G24="T3"))),IF(OR(SUM(IF($G$23:$G23="O",$I$23:$I23,0))+SUM(IF($G$23:$G23="T1",$I$23:$I23,0))+SUM(IF($G$23:$G23="T2N",$I$23:$I23,0))+SUM(IF($G$23:$G23="T3",$I$23:$I23,0))=0),(CEILING(H24,0.5)-0.5)/0.5*Reg_Subs+Reg_First,CEILING(H24,0.5)/0.5*Reg_Subs),
IF(G24="M",MIN((CEILING(H24,0.5)-0.5)/0.5,10)*Double_Subs+Double_First + N("MIN 10 kludge to avoid removing cap"),
IF(G24="F",MAX(WeeklyFee/7,4*FreeRate,ROUNDUP(H24,0)*FreeRate),
IF(G24="R",IF(CEILING(H24,0.5)=0.5,RehPerfRate_1,IF(CEILING(H24,0.5)=1,RehPerfRate_2+RehPerfRate_1,IF(CEILING(H24,0.5)&gt;=1.5,RehPerfRate_3+RehPerfRate_2+RehPerfRate_1))),
IF(G24="P",(MIN(((CEILING(H24,0.5)-0.5)/0.5),2)*PerfPerfRate_subs)+PerfPerfRate_first,
IF(OR(G24="N",AND(TYA="NO",G24="T2R")),(INT((H24)/1)*ON_subs)+MAX(MOD(H24,0.5),1)*ON_first,
IF(G24="S",CEILING(H24,0.5)/0.5*SpanRate,
IF(G24="E",ROUNDUP(H24,0)*EmergFreeRate,)))))))))</f>
        <v>0</v>
      </c>
      <c r="J24" s="113">
        <f>SUM($F$7:F24)</f>
        <v>0</v>
      </c>
      <c r="K24" s="116" t="s">
        <v>80</v>
      </c>
      <c r="L24" s="115"/>
      <c r="M24" s="95"/>
      <c r="N24" s="89"/>
    </row>
    <row r="25" spans="2:21" x14ac:dyDescent="0.2">
      <c r="B25" s="56"/>
      <c r="C25" s="7"/>
      <c r="D25" s="8"/>
      <c r="E25" s="8"/>
      <c r="F25" s="72">
        <f t="shared" si="0"/>
        <v>0</v>
      </c>
      <c r="G25" s="4"/>
      <c r="H25" s="9"/>
      <c r="I25" s="6" cm="1">
        <f t="array" ref="I25" xml:space="preserve">
IF(H25&lt;=0,0,
IF(OR(G25="O",G25="T1",AND(TYA="No",OR(G25="T2N",G25="T3"))),IF(OR(SUM(IF($G$23:$G24="O",$I$23:$I24,0))+SUM(IF($G$23:$G24="T1",$I$23:$I24,0))+SUM(IF($G$23:$G24="T2N",$I$23:$I24,0))+SUM(IF($G$23:$G24="T3",$I$23:$I24,0))=0),(CEILING(H25,0.5)-0.5)/0.5*Reg_Subs+Reg_First,CEILING(H25,0.5)/0.5*Reg_Subs),
IF(G25="M",MIN((CEILING(H25,0.5)-0.5)/0.5,10)*Double_Subs+Double_First + N("MIN 10 kludge to avoid removing cap"),
IF(G25="F",MAX(WeeklyFee/7,4*FreeRate,ROUNDUP(H25,0)*FreeRate),
IF(G25="R",IF(CEILING(H25,0.5)=0.5,RehPerfRate_1,IF(CEILING(H25,0.5)=1,RehPerfRate_2+RehPerfRate_1,IF(CEILING(H25,0.5)&gt;=1.5,RehPerfRate_3+RehPerfRate_2+RehPerfRate_1))),
IF(G25="P",(MIN(((CEILING(H25,0.5)-0.5)/0.5),2)*PerfPerfRate_subs)+PerfPerfRate_first,
IF(OR(G25="N",AND(TYA="NO",G25="T2R")),(INT((H25)/1)*ON_subs)+MAX(MOD(H25,0.5),1)*ON_first,
IF(G25="S",CEILING(H25,0.5)/0.5*SpanRate,
IF(G25="E",ROUNDUP(H25,0)*EmergFreeRate,)))))))))</f>
        <v>0</v>
      </c>
      <c r="J25" s="113">
        <f>SUM($F$7:F25)</f>
        <v>0</v>
      </c>
      <c r="K25" s="109" t="s">
        <v>83</v>
      </c>
      <c r="L25" s="115"/>
      <c r="M25" s="95"/>
      <c r="N25" s="89"/>
    </row>
    <row r="26" spans="2:21" x14ac:dyDescent="0.2">
      <c r="B26" s="56"/>
      <c r="C26" s="7"/>
      <c r="D26" s="8"/>
      <c r="E26" s="8"/>
      <c r="F26" s="72">
        <f t="shared" si="0"/>
        <v>0</v>
      </c>
      <c r="G26" s="4"/>
      <c r="H26" s="9"/>
      <c r="I26" s="6" cm="1">
        <f t="array" ref="I26" xml:space="preserve">
IF(H26&lt;=0,0,
IF(OR(G26="O",G26="T1",AND(TYA="No",OR(G26="T2N",G26="T3"))),IF(OR(SUM(IF($G$23:$G25="O",$I$23:$I25,0))+SUM(IF($G$23:$G25="T1",$I$23:$I25,0))+SUM(IF($G$23:$G25="T2N",$I$23:$I25,0))+SUM(IF($G$23:$G25="T3",$I$23:$I25,0))=0),(CEILING(H26,0.5)-0.5)/0.5*Reg_Subs+Reg_First,CEILING(H26,0.5)/0.5*Reg_Subs),
IF(G26="M",MIN((CEILING(H26,0.5)-0.5)/0.5,10)*Double_Subs+Double_First + N("MIN 10 kludge to avoid removing cap"),
IF(G26="F",MAX(WeeklyFee/7,4*FreeRate,ROUNDUP(H26,0)*FreeRate),
IF(G26="R",IF(CEILING(H26,0.5)=0.5,RehPerfRate_1,IF(CEILING(H26,0.5)=1,RehPerfRate_2+RehPerfRate_1,IF(CEILING(H26,0.5)&gt;=1.5,RehPerfRate_3+RehPerfRate_2+RehPerfRate_1))),
IF(G26="P",(MIN(((CEILING(H26,0.5)-0.5)/0.5),2)*PerfPerfRate_subs)+PerfPerfRate_first,
IF(OR(G26="N",AND(TYA="NO",G26="T2R")),(INT((H26)/1)*ON_subs)+MAX(MOD(H26,0.5),1)*ON_first,
IF(G26="S",CEILING(H26,0.5)/0.5*SpanRate,
IF(G26="E",ROUNDUP(H26,0)*EmergFreeRate,)))))))))</f>
        <v>0</v>
      </c>
      <c r="J26" s="113">
        <f>SUM($F$7:F26)</f>
        <v>0</v>
      </c>
      <c r="K26" s="109" t="s">
        <v>93</v>
      </c>
      <c r="L26" s="115"/>
      <c r="M26" s="95"/>
      <c r="N26" s="90"/>
    </row>
    <row r="27" spans="2:21" x14ac:dyDescent="0.2">
      <c r="B27" s="56"/>
      <c r="C27" s="7"/>
      <c r="D27" s="8"/>
      <c r="E27" s="8"/>
      <c r="F27" s="72">
        <f t="shared" si="0"/>
        <v>0</v>
      </c>
      <c r="G27" s="4"/>
      <c r="H27" s="9"/>
      <c r="I27" s="6" cm="1">
        <f t="array" ref="I27" xml:space="preserve">
IF(H27&lt;=0,0,
IF(OR(G27="O",G27="T1",AND(TYA="No",OR(G27="T2N",G27="T3"))),IF(OR(SUM(IF($G$23:$G26="O",$I$23:$I26,0))+SUM(IF($G$23:$G26="T1",$I$23:$I26,0))+SUM(IF($G$23:$G26="T2N",$I$23:$I26,0))+SUM(IF($G$23:$G26="T3",$I$23:$I26,0))=0),(CEILING(H27,0.5)-0.5)/0.5*Reg_Subs+Reg_First,CEILING(H27,0.5)/0.5*Reg_Subs),
IF(G27="M",MIN((CEILING(H27,0.5)-0.5)/0.5,10)*Double_Subs+Double_First + N("MIN 10 kludge to avoid removing cap"),
IF(G27="F",MAX(WeeklyFee/7,4*FreeRate,ROUNDUP(H27,0)*FreeRate),
IF(G27="R",IF(CEILING(H27,0.5)=0.5,RehPerfRate_1,IF(CEILING(H27,0.5)=1,RehPerfRate_2+RehPerfRate_1,IF(CEILING(H27,0.5)&gt;=1.5,RehPerfRate_3+RehPerfRate_2+RehPerfRate_1))),
IF(G27="P",(MIN(((CEILING(H27,0.5)-0.5)/0.5),2)*PerfPerfRate_subs)+PerfPerfRate_first,
IF(OR(G27="N",AND(TYA="NO",G27="T2R")),(INT((H27)/1)*ON_subs)+MAX(MOD(H27,0.5),1)*ON_first,
IF(G27="S",CEILING(H27,0.5)/0.5*SpanRate,
IF(G27="E",ROUNDUP(H27,0)*EmergFreeRate,)))))))))</f>
        <v>0</v>
      </c>
      <c r="J27" s="113">
        <f>SUM($F$7:F27)</f>
        <v>0</v>
      </c>
      <c r="K27" s="109" t="str">
        <f>IF(TYA="No","T2N-Excess Air","")</f>
        <v>T2N-Excess Air</v>
      </c>
      <c r="L27" s="115"/>
      <c r="M27" s="95"/>
      <c r="N27" s="90"/>
    </row>
    <row r="28" spans="2:21" x14ac:dyDescent="0.2">
      <c r="B28" s="56"/>
      <c r="C28" s="7"/>
      <c r="D28" s="8"/>
      <c r="E28" s="8"/>
      <c r="F28" s="72">
        <f t="shared" si="0"/>
        <v>0</v>
      </c>
      <c r="G28" s="4"/>
      <c r="H28" s="9"/>
      <c r="I28" s="6" cm="1">
        <f t="array" ref="I28" xml:space="preserve">
IF(H28&lt;=0,0,
IF(OR(G28="O",G28="T1",AND(TYA="No",OR(G28="T2N",G28="T3"))),IF(OR(SUM(IF($G$23:$G27="O",$I$23:$I27,0))+SUM(IF($G$23:$G27="T1",$I$23:$I27,0))+SUM(IF($G$23:$G27="T2N",$I$23:$I27,0))+SUM(IF($G$23:$G27="T3",$I$23:$I27,0))=0),(CEILING(H28,0.5)-0.5)/0.5*Reg_Subs+Reg_First,CEILING(H28,0.5)/0.5*Reg_Subs),
IF(G28="M",MIN((CEILING(H28,0.5)-0.5)/0.5,10)*Double_Subs+Double_First + N("MIN 10 kludge to avoid removing cap"),
IF(G28="F",MAX(WeeklyFee/7,4*FreeRate,ROUNDUP(H28,0)*FreeRate),
IF(G28="R",IF(CEILING(H28,0.5)=0.5,RehPerfRate_1,IF(CEILING(H28,0.5)=1,RehPerfRate_2+RehPerfRate_1,IF(CEILING(H28,0.5)&gt;=1.5,RehPerfRate_3+RehPerfRate_2+RehPerfRate_1))),
IF(G28="P",(MIN(((CEILING(H28,0.5)-0.5)/0.5),2)*PerfPerfRate_subs)+PerfPerfRate_first,
IF(OR(G28="N",AND(TYA="NO",G28="T2R")),(INT((H28)/1)*ON_subs)+MAX(MOD(H28,0.5),1)*ON_first,
IF(G28="S",CEILING(H28,0.5)/0.5*SpanRate,
IF(G28="E",ROUNDUP(H28,0)*EmergFreeRate,)))))))))</f>
        <v>0</v>
      </c>
      <c r="J28" s="113">
        <f>SUM($F$7:F28)</f>
        <v>0</v>
      </c>
      <c r="K28" s="109" t="str">
        <f>IF(TYA="No","   Trav (Night)","")</f>
        <v>   Trav (Night)</v>
      </c>
      <c r="L28" s="115"/>
      <c r="M28" s="95"/>
      <c r="N28" s="90"/>
    </row>
    <row r="29" spans="2:21" x14ac:dyDescent="0.2">
      <c r="B29" s="56"/>
      <c r="C29" s="7"/>
      <c r="D29" s="8"/>
      <c r="E29" s="8"/>
      <c r="F29" s="72">
        <f t="shared" si="0"/>
        <v>0</v>
      </c>
      <c r="G29" s="4"/>
      <c r="H29" s="9"/>
      <c r="I29" s="6" cm="1">
        <f t="array" ref="I29" xml:space="preserve">
IF(H29&lt;=0,0,
IF(OR(G29="O",G29="T1",AND(TYA="No",OR(G29="T2N",G29="T3"))),IF(OR(SUM(IF($G$23:$G28="O",$I$23:$I28,0))+SUM(IF($G$23:$G28="T1",$I$23:$I28,0))+SUM(IF($G$23:$G28="T2N",$I$23:$I28,0))+SUM(IF($G$23:$G28="T3",$I$23:$I28,0))=0),(CEILING(H29,0.5)-0.5)/0.5*Reg_Subs+Reg_First,CEILING(H29,0.5)/0.5*Reg_Subs),
IF(G29="M",MIN((CEILING(H29,0.5)-0.5)/0.5,10)*Double_Subs+Double_First + N("MIN 10 kludge to avoid removing cap"),
IF(G29="F",MAX(WeeklyFee/7,4*FreeRate,ROUNDUP(H29,0)*FreeRate),
IF(G29="R",IF(CEILING(H29,0.5)=0.5,RehPerfRate_1,IF(CEILING(H29,0.5)=1,RehPerfRate_2+RehPerfRate_1,IF(CEILING(H29,0.5)&gt;=1.5,RehPerfRate_3+RehPerfRate_2+RehPerfRate_1))),
IF(G29="P",(MIN(((CEILING(H29,0.5)-0.5)/0.5),2)*PerfPerfRate_subs)+PerfPerfRate_first,
IF(OR(G29="N",AND(TYA="NO",G29="T2R")),(INT((H29)/1)*ON_subs)+MAX(MOD(H29,0.5),1)*ON_first,
IF(G29="S",CEILING(H29,0.5)/0.5*SpanRate,
IF(G29="E",ROUNDUP(H29,0)*EmergFreeRate,)))))))))</f>
        <v>0</v>
      </c>
      <c r="J29" s="113">
        <f>SUM($F$7:F29)</f>
        <v>0</v>
      </c>
      <c r="K29" s="109" t="str">
        <f>IF(TYA="No","   (49:17(C))","")</f>
        <v>   (49:17(C))</v>
      </c>
      <c r="L29" s="115"/>
      <c r="M29" s="95"/>
      <c r="N29" s="90"/>
    </row>
    <row r="30" spans="2:21" ht="17" thickBot="1" x14ac:dyDescent="0.25">
      <c r="B30" s="57"/>
      <c r="C30" s="10"/>
      <c r="D30" s="11"/>
      <c r="E30" s="11"/>
      <c r="F30" s="73">
        <f t="shared" si="0"/>
        <v>0</v>
      </c>
      <c r="G30" s="1"/>
      <c r="H30" s="12"/>
      <c r="I30" s="13" cm="1">
        <f t="array" ref="I30" xml:space="preserve">
IF(H30&lt;=0,0,
IF(OR(G30="O",G30="T1",AND(TYA="No",OR(G30="T2N",G30="T3"))),IF(OR(SUM(IF($G$23:$G29="O",$I$23:$I29,0))+SUM(IF($G$23:$G29="T1",$I$23:$I29,0))+SUM(IF($G$23:$G29="T2N",$I$23:$I29,0))+SUM(IF($G$23:$G29="T3",$I$23:$I29,0))=0),(CEILING(H30,0.5)-0.5)/0.5*Reg_Subs+Reg_First,CEILING(H30,0.5)/0.5*Reg_Subs),
IF(G30="M",MIN((CEILING(H30,0.5)-0.5)/0.5,10)*Double_Subs+Double_First + N("MIN 10 kludge to avoid removing cap"),
IF(G30="F",MAX(WeeklyFee/7,4*FreeRate,ROUNDUP(H30,0)*FreeRate),
IF(G30="R",IF(CEILING(H30,0.5)=0.5,RehPerfRate_1,IF(CEILING(H30,0.5)=1,RehPerfRate_2+RehPerfRate_1,IF(CEILING(H30,0.5)&gt;=1.5,RehPerfRate_3+RehPerfRate_2+RehPerfRate_1))),
IF(G30="P",(MIN(((CEILING(H30,0.5)-0.5)/0.5),2)*PerfPerfRate_subs)+PerfPerfRate_first,
IF(OR(G30="N",AND(TYA="NO",G30="T2R")),(INT((H30)/1)*ON_subs)+MAX(MOD(H30,0.5),1)*ON_first,
IF(G30="S",CEILING(H30,0.5)/0.5*SpanRate,
IF(G30="E",ROUNDUP(H30,0)*EmergFreeRate,)))))))))</f>
        <v>0</v>
      </c>
      <c r="J30" s="113">
        <f>SUM($F$7:F30)</f>
        <v>0</v>
      </c>
      <c r="K30" s="109" t="str">
        <f>IF(TYA="No","T2R-Excess Air","")</f>
        <v>T2R-Excess Air</v>
      </c>
      <c r="L30" s="115"/>
      <c r="M30" s="94"/>
      <c r="N30" s="90"/>
    </row>
    <row r="31" spans="2:21" x14ac:dyDescent="0.2">
      <c r="B31" s="2">
        <f>IF(B32="","",B32)</f>
        <v>44008</v>
      </c>
      <c r="C31" s="3"/>
      <c r="D31" s="8"/>
      <c r="E31" s="8"/>
      <c r="F31" s="72">
        <f t="shared" si="0"/>
        <v>0</v>
      </c>
      <c r="G31" s="4"/>
      <c r="H31" s="5"/>
      <c r="I31" s="6" cm="1">
        <f t="array" ref="I31" xml:space="preserve">
IF(H31&lt;=0,0,
IF(OR(G31="O", G31="T1",AND(TYA="No",OR(G31="T2N",G31="T3"))),(CEILING(H31,0.5)-0.5)/0.5*Reg_Subs+Reg_First,
IF(G31="M",MIN((CEILING(H31,0.5)-0.5)/0.5,10)*Double_Subs+Double_First + N("MIN 10 kludge to avoid removing cap"),
IF(G31="F",MAX(WeeklyFee/7,4*FreeRate,ROUNDUP(H31,0)*FreeRate),
IF(G31="R",IF(CEILING(H31,0.5)=0.5,RehPerfRate_1,IF(CEILING(H31,0.5)=1,RehPerfRate_2+RehPerfRate_1,IF(CEILING(H31,0.5)&gt;=1.5,RehPerfRate_3+RehPerfRate_2+RehPerfRate_1))),
IF(G31="P",(MIN(((CEILING(H31,0.5)-0.5)/0.5),2)*PerfPerfRate_subs)+PerfPerfRate_first,
IF(OR(G31="N",AND(TYA="NO",G31="T2R")),(INT((H31)/1)*ON_subs)+MAX(MOD(H31,0.5),1)*ON_first,
IF(G31="S",CEILING(H31,0.5)/0.5*SpanRate,
IF(G31="E",ROUNDUP(H31,0)*EmergFreeRate,)))))))))</f>
        <v>0</v>
      </c>
      <c r="J31" s="113">
        <f>SUM($F$7:F31)</f>
        <v>0</v>
      </c>
      <c r="K31" s="109" t="str">
        <f>IF(TYA="No","   Trav (Rest)","")</f>
        <v>   Trav (Rest)</v>
      </c>
      <c r="L31" s="115"/>
      <c r="M31" s="94"/>
      <c r="N31" s="88"/>
    </row>
    <row r="32" spans="2:21" x14ac:dyDescent="0.2">
      <c r="B32" s="136">
        <f>IF(B24="","",B24+1)</f>
        <v>44008</v>
      </c>
      <c r="C32" s="7"/>
      <c r="D32" s="8"/>
      <c r="E32" s="8"/>
      <c r="F32" s="72">
        <f t="shared" si="0"/>
        <v>0</v>
      </c>
      <c r="G32" s="14"/>
      <c r="H32" s="9"/>
      <c r="I32" s="6" cm="1">
        <f t="array" ref="I32" xml:space="preserve">
IF(H32&lt;=0,0,
IF(OR(G32="O",G32="T1",AND(TYA="No",OR(G31="T2N",G32="T3"))),IF(OR(SUM(IF($G$31:$G31="O",$I$31:$I31,0))+SUM(IF($G$31:$G31="T1",$I$31:$I31,0))+SUM(IF($G$31:$G31="T2N",$I$31:$I31,0))+SUM(IF($G$31:$G31="T3",$I$31:$I31,0))=0),(CEILING(H32,0.5)-0.5)/0.5*Reg_Subs+Reg_First,CEILING(H32,0.5)/0.5*Reg_Subs),
IF(G32="M",MIN((CEILING(H32,0.5)-0.5)/0.5,10)*Double_Subs+Double_First + N("MIN 10 kludge to avoid removing cap"),
IF(G32="F",MAX(WeeklyFee/7,4*FreeRate,ROUNDUP(H32,0)*FreeRate),
IF(G32="R",IF(CEILING(H32,0.5)=0.5,RehPerfRate_1,IF(CEILING(H32,0.5)=1,RehPerfRate_2+RehPerfRate_1,IF(CEILING(H32,0.5)&gt;=1.5,RehPerfRate_3+RehPerfRate_2+RehPerfRate_1))),
IF(G32="P",(MIN(((CEILING(H32,0.5)-0.5)/0.5),2)*PerfPerfRate_subs)+PerfPerfRate_first,
IF(OR(G32="N",AND(TYA="NO",G32="T2R")),(INT((H32)/1)*ON_subs)+MAX(MOD(H32,0.5),1)*ON_first,
IF(G32="S",CEILING(H32,0.5)/0.5*SpanRate,
IF(G32="E",ROUNDUP(H32,0)*EmergFreeRate,)))))))))</f>
        <v>0</v>
      </c>
      <c r="J32" s="113">
        <f>SUM($F$7:F32)</f>
        <v>0</v>
      </c>
      <c r="K32" s="109" t="str">
        <f>IF(TYA="No","   (49:17(C))","")</f>
        <v>   (49:17(C))</v>
      </c>
      <c r="L32" s="115"/>
      <c r="M32" s="95"/>
      <c r="N32" s="89"/>
    </row>
    <row r="33" spans="2:20" x14ac:dyDescent="0.2">
      <c r="B33" s="56"/>
      <c r="C33" s="7"/>
      <c r="D33" s="8"/>
      <c r="E33" s="8"/>
      <c r="F33" s="72">
        <f t="shared" si="0"/>
        <v>0</v>
      </c>
      <c r="G33" s="4"/>
      <c r="H33" s="9"/>
      <c r="I33" s="6" cm="1">
        <f t="array" ref="I33" xml:space="preserve">
IF(H33&lt;=0,0,
IF(OR(G33="O",G33="T1",AND(TYA="No",OR(G32="T2N",G33="T3"))),IF(OR(SUM(IF($G$31:$G32="O",$I$31:$I32,0))+SUM(IF($G$31:$G32="T1",$I$31:$I32,0))+SUM(IF($G$31:$G32="T2N",$I$31:$I32,0))+SUM(IF($G$31:$G32="T3",$I$31:$I32,0))=0),(CEILING(H33,0.5)-0.5)/0.5*Reg_Subs+Reg_First,CEILING(H33,0.5)/0.5*Reg_Subs),
IF(G33="M",MIN((CEILING(H33,0.5)-0.5)/0.5,10)*Double_Subs+Double_First + N("MIN 10 kludge to avoid removing cap"),
IF(G33="F",MAX(WeeklyFee/7,4*FreeRate,ROUNDUP(H33,0)*FreeRate),
IF(G33="R",IF(CEILING(H33,0.5)=0.5,RehPerfRate_1,IF(CEILING(H33,0.5)=1,RehPerfRate_2+RehPerfRate_1,IF(CEILING(H33,0.5)&gt;=1.5,RehPerfRate_3+RehPerfRate_2+RehPerfRate_1))),
IF(G33="P",(MIN(((CEILING(H33,0.5)-0.5)/0.5),2)*PerfPerfRate_subs)+PerfPerfRate_first,
IF(OR(G33="N",AND(TYA="NO",G33="T2R")),(INT((H33)/1)*ON_subs)+MAX(MOD(H33,0.5),1)*ON_first,
IF(G33="S",CEILING(H33,0.5)/0.5*SpanRate,
IF(G33="E",ROUNDUP(H33,0)*EmergFreeRate,)))))))))</f>
        <v>0</v>
      </c>
      <c r="J33" s="113">
        <f>SUM($F$7:F33)</f>
        <v>0</v>
      </c>
      <c r="K33" s="109" t="str">
        <f>IF(TYA="No","T3-Excess Bus","")</f>
        <v>T3-Excess Bus</v>
      </c>
      <c r="L33" s="115"/>
      <c r="M33" s="95"/>
      <c r="N33" s="89"/>
    </row>
    <row r="34" spans="2:20" x14ac:dyDescent="0.2">
      <c r="B34" s="56"/>
      <c r="C34" s="7"/>
      <c r="D34" s="8"/>
      <c r="E34" s="8"/>
      <c r="F34" s="72">
        <f t="shared" si="0"/>
        <v>0</v>
      </c>
      <c r="G34" s="4"/>
      <c r="H34" s="9"/>
      <c r="I34" s="6" cm="1">
        <f t="array" ref="I34" xml:space="preserve">
IF(H34&lt;=0,0,
IF(OR(G34="O",G34="T1",AND(TYA="No",OR(G33="T2N",G34="T3"))),IF(OR(SUM(IF($G$31:$G33="O",$I$31:$I33,0))+SUM(IF($G$31:$G33="T1",$I$31:$I33,0))+SUM(IF($G$31:$G33="T2N",$I$31:$I33,0))+SUM(IF($G$31:$G33="T3",$I$31:$I33,0))=0),(CEILING(H34,0.5)-0.5)/0.5*Reg_Subs+Reg_First,CEILING(H34,0.5)/0.5*Reg_Subs),
IF(G34="M",MIN((CEILING(H34,0.5)-0.5)/0.5,10)*Double_Subs+Double_First + N("MIN 10 kludge to avoid removing cap"),
IF(G34="F",MAX(WeeklyFee/7,4*FreeRate,ROUNDUP(H34,0)*FreeRate),
IF(G34="R",IF(CEILING(H34,0.5)=0.5,RehPerfRate_1,IF(CEILING(H34,0.5)=1,RehPerfRate_2+RehPerfRate_1,IF(CEILING(H34,0.5)&gt;=1.5,RehPerfRate_3+RehPerfRate_2+RehPerfRate_1))),
IF(G34="P",(MIN(((CEILING(H34,0.5)-0.5)/0.5),2)*PerfPerfRate_subs)+PerfPerfRate_first,
IF(OR(G34="N",AND(TYA="NO",G34="T2R")),(INT((H34)/1)*ON_subs)+MAX(MOD(H34,0.5),1)*ON_first,
IF(G34="S",CEILING(H34,0.5)/0.5*SpanRate,
IF(G34="E",ROUNDUP(H34,0)*EmergFreeRate,)))))))))</f>
        <v>0</v>
      </c>
      <c r="J34" s="113">
        <f>SUM($F$7:F34)</f>
        <v>0</v>
      </c>
      <c r="K34" s="109" t="str">
        <f>IF(TYA="No","   Travel","")</f>
        <v>   Travel</v>
      </c>
      <c r="L34" s="115"/>
      <c r="M34" s="95"/>
      <c r="N34" s="90"/>
    </row>
    <row r="35" spans="2:20" x14ac:dyDescent="0.2">
      <c r="B35" s="56"/>
      <c r="C35" s="7"/>
      <c r="D35" s="8"/>
      <c r="E35" s="8"/>
      <c r="F35" s="72">
        <f t="shared" si="0"/>
        <v>0</v>
      </c>
      <c r="G35" s="4"/>
      <c r="H35" s="9"/>
      <c r="I35" s="6" cm="1">
        <f t="array" ref="I35" xml:space="preserve">
IF(H35&lt;=0,0,
IF(OR(G35="O",G35="T1",AND(TYA="No",OR(G34="T2N",G35="T3"))),IF(OR(SUM(IF($G$31:$G34="O",$I$31:$I34,0))+SUM(IF($G$31:$G34="T1",$I$31:$I34,0))+SUM(IF($G$31:$G34="T2N",$I$31:$I34,0))+SUM(IF($G$31:$G34="T3",$I$31:$I34,0))=0),(CEILING(H35,0.5)-0.5)/0.5*Reg_Subs+Reg_First,CEILING(H35,0.5)/0.5*Reg_Subs),
IF(G35="M",MIN((CEILING(H35,0.5)-0.5)/0.5,10)*Double_Subs+Double_First + N("MIN 10 kludge to avoid removing cap"),
IF(G35="F",MAX(WeeklyFee/7,4*FreeRate,ROUNDUP(H35,0)*FreeRate),
IF(G35="R",IF(CEILING(H35,0.5)=0.5,RehPerfRate_1,IF(CEILING(H35,0.5)=1,RehPerfRate_2+RehPerfRate_1,IF(CEILING(H35,0.5)&gt;=1.5,RehPerfRate_3+RehPerfRate_2+RehPerfRate_1))),
IF(G35="P",(MIN(((CEILING(H35,0.5)-0.5)/0.5),2)*PerfPerfRate_subs)+PerfPerfRate_first,
IF(OR(G35="N",AND(TYA="NO",G35="T2R")),(INT((H35)/1)*ON_subs)+MAX(MOD(H35,0.5),1)*ON_first,
IF(G35="S",CEILING(H35,0.5)/0.5*SpanRate,
IF(G35="E",ROUNDUP(H35,0)*EmergFreeRate,)))))))))</f>
        <v>0</v>
      </c>
      <c r="J35" s="113">
        <f>SUM($F$7:F35)</f>
        <v>0</v>
      </c>
      <c r="K35" s="116" t="str">
        <f>IF(TYA="No","   (49:21(E))","")</f>
        <v>   (49:21(E))</v>
      </c>
      <c r="L35" s="115"/>
      <c r="M35" s="95"/>
      <c r="N35" s="90"/>
    </row>
    <row r="36" spans="2:20" x14ac:dyDescent="0.2">
      <c r="B36" s="56"/>
      <c r="C36" s="7"/>
      <c r="D36" s="8"/>
      <c r="E36" s="8"/>
      <c r="F36" s="72">
        <f t="shared" si="0"/>
        <v>0</v>
      </c>
      <c r="G36" s="4"/>
      <c r="H36" s="9"/>
      <c r="I36" s="6" cm="1">
        <f t="array" ref="I36" xml:space="preserve">
IF(H36&lt;=0,0,
IF(OR(G36="O",G36="T1",AND(TYA="No",OR(G35="T2N",G36="T3"))),IF(OR(SUM(IF($G$31:$G35="O",$I$31:$I35,0))+SUM(IF($G$31:$G35="T1",$I$31:$I35,0))+SUM(IF($G$31:$G35="T2N",$I$31:$I35,0))+SUM(IF($G$31:$G35="T3",$I$31:$I35,0))=0),(CEILING(H36,0.5)-0.5)/0.5*Reg_Subs+Reg_First,CEILING(H36,0.5)/0.5*Reg_Subs),
IF(G36="M",MIN((CEILING(H36,0.5)-0.5)/0.5,10)*Double_Subs+Double_First + N("MIN 10 kludge to avoid removing cap"),
IF(G36="F",MAX(WeeklyFee/7,4*FreeRate,ROUNDUP(H36,0)*FreeRate),
IF(G36="R",IF(CEILING(H36,0.5)=0.5,RehPerfRate_1,IF(CEILING(H36,0.5)=1,RehPerfRate_2+RehPerfRate_1,IF(CEILING(H36,0.5)&gt;=1.5,RehPerfRate_3+RehPerfRate_2+RehPerfRate_1))),
IF(G36="P",(MIN(((CEILING(H36,0.5)-0.5)/0.5),2)*PerfPerfRate_subs)+PerfPerfRate_first,
IF(OR(G36="N",AND(TYA="NO",G36="T2R")),(INT((H36)/1)*ON_subs)+MAX(MOD(H36,0.5),1)*ON_first,
IF(G36="S",CEILING(H36,0.5)/0.5*SpanRate,
IF(G36="E",ROUNDUP(H36,0)*EmergFreeRate,)))))))))</f>
        <v>0</v>
      </c>
      <c r="J36" s="113">
        <f>SUM($F$7:F36)</f>
        <v>0</v>
      </c>
      <c r="K36" s="120"/>
      <c r="L36" s="115"/>
      <c r="M36" s="95"/>
      <c r="N36" s="90"/>
    </row>
    <row r="37" spans="2:20" x14ac:dyDescent="0.2">
      <c r="B37" s="56"/>
      <c r="C37" s="7"/>
      <c r="D37" s="8"/>
      <c r="E37" s="8"/>
      <c r="F37" s="72">
        <f t="shared" si="0"/>
        <v>0</v>
      </c>
      <c r="G37" s="4"/>
      <c r="H37" s="9"/>
      <c r="I37" s="6" cm="1">
        <f t="array" ref="I37" xml:space="preserve">
IF(H37&lt;=0,0,
IF(OR(G37="O",G37="T1",AND(TYA="No",OR(G36="T2N",G37="T3"))),IF(OR(SUM(IF($G$31:$G36="O",$I$31:$I36,0))+SUM(IF($G$31:$G36="T1",$I$31:$I36,0))+SUM(IF($G$31:$G36="T2N",$I$31:$I36,0))+SUM(IF($G$31:$G36="T3",$I$31:$I36,0))=0),(CEILING(H37,0.5)-0.5)/0.5*Reg_Subs+Reg_First,CEILING(H37,0.5)/0.5*Reg_Subs),
IF(G37="M",MIN((CEILING(H37,0.5)-0.5)/0.5,10)*Double_Subs+Double_First + N("MIN 10 kludge to avoid removing cap"),
IF(G37="F",MAX(WeeklyFee/7,4*FreeRate,ROUNDUP(H37,0)*FreeRate),
IF(G37="R",IF(CEILING(H37,0.5)=0.5,RehPerfRate_1,IF(CEILING(H37,0.5)=1,RehPerfRate_2+RehPerfRate_1,IF(CEILING(H37,0.5)&gt;=1.5,RehPerfRate_3+RehPerfRate_2+RehPerfRate_1))),
IF(G37="P",(MIN(((CEILING(H37,0.5)-0.5)/0.5),2)*PerfPerfRate_subs)+PerfPerfRate_first,
IF(OR(G37="N",AND(TYA="NO",G37="T2R")),(INT((H37)/1)*ON_subs)+MAX(MOD(H37,0.5),1)*ON_first,
IF(G37="S",CEILING(H37,0.5)/0.5*SpanRate,
IF(G37="E",ROUNDUP(H37,0)*EmergFreeRate,)))))))))</f>
        <v>0</v>
      </c>
      <c r="J37" s="113">
        <f>SUM($F$7:F37)</f>
        <v>0</v>
      </c>
      <c r="K37" s="120"/>
      <c r="L37" s="115"/>
      <c r="M37" s="95"/>
      <c r="N37" s="90"/>
    </row>
    <row r="38" spans="2:20" ht="17" thickBot="1" x14ac:dyDescent="0.25">
      <c r="B38" s="57"/>
      <c r="C38" s="10"/>
      <c r="D38" s="11"/>
      <c r="E38" s="11"/>
      <c r="F38" s="73">
        <f t="shared" si="0"/>
        <v>0</v>
      </c>
      <c r="G38" s="1"/>
      <c r="H38" s="12"/>
      <c r="I38" s="13" cm="1">
        <f t="array" ref="I38" xml:space="preserve">
IF(H38&lt;=0,0,
IF(OR(G38="O",G38="T1",AND(TYA="No",OR(G37="T2N",G38="T3"))),IF(OR(SUM(IF($G$31:$G37="O",$I$31:$I37,0))+SUM(IF($G$31:$G37="T1",$I$31:$I37,0))+SUM(IF($G$31:$G37="T2N",$I$31:$I37,0))+SUM(IF($G$31:$G37="T3",$I$31:$I37,0))=0),(CEILING(H38,0.5)-0.5)/0.5*Reg_Subs+Reg_First,CEILING(H38,0.5)/0.5*Reg_Subs),
IF(G38="M",MIN((CEILING(H38,0.5)-0.5)/0.5,10)*Double_Subs+Double_First + N("MIN 10 kludge to avoid removing cap"),
IF(G38="F",MAX(WeeklyFee/7,4*FreeRate,ROUNDUP(H38,0)*FreeRate),
IF(G38="R",IF(CEILING(H38,0.5)=0.5,RehPerfRate_1,IF(CEILING(H38,0.5)=1,RehPerfRate_2+RehPerfRate_1,IF(CEILING(H38,0.5)&gt;=1.5,RehPerfRate_3+RehPerfRate_2+RehPerfRate_1))),
IF(G38="P",(MIN(((CEILING(H38,0.5)-0.5)/0.5),2)*PerfPerfRate_subs)+PerfPerfRate_first,
IF(OR(G38="N",AND(TYA="NO",G38="T2R")),(INT((H38)/1)*ON_subs)+MAX(MOD(H38,0.5),1)*ON_first,
IF(G38="S",CEILING(H38,0.5)/0.5*SpanRate,
IF(G38="E",ROUNDUP(H38,0)*EmergFreeRate,)))))))))</f>
        <v>0</v>
      </c>
      <c r="J38" s="113">
        <f>SUM($F$7:F38)</f>
        <v>0</v>
      </c>
      <c r="K38" s="121"/>
      <c r="L38" s="115"/>
      <c r="M38" s="94"/>
      <c r="N38" s="90"/>
    </row>
    <row r="39" spans="2:20" x14ac:dyDescent="0.2">
      <c r="B39" s="2">
        <f>IF(B40="","",B40)</f>
        <v>44009</v>
      </c>
      <c r="C39" s="3"/>
      <c r="D39" s="80"/>
      <c r="E39" s="80"/>
      <c r="F39" s="72">
        <f t="shared" si="0"/>
        <v>0</v>
      </c>
      <c r="G39" s="4"/>
      <c r="H39" s="5"/>
      <c r="I39" s="6" cm="1">
        <f t="array" ref="I39" xml:space="preserve">
IF(H39&lt;=0,0,
IF(OR(G39="O", G39="T1",AND(TYA="No",OR(G39="T2N",G39="T3"))),(CEILING(H39,0.5)-0.5)/0.5*Reg_Subs+Reg_First,
IF(G39="M",MIN((CEILING(H39,0.5)-0.5)/0.5,10)*Double_Subs+Double_First + N("MIN 10 kludge to avoid removing cap"),
IF(G39="F",MAX(WeeklyFee/7,4*FreeRate,ROUNDUP(H39,0)*FreeRate),
IF(G39="R",IF(CEILING(H39,0.5)=0.5,RehPerfRate_1,IF(CEILING(H39,0.5)=1,RehPerfRate_2+RehPerfRate_1,IF(CEILING(H39,0.5)&gt;=1.5,RehPerfRate_3+RehPerfRate_2+RehPerfRate_1))),
IF(G39="P",(MIN(((CEILING(H39,0.5)-0.5)/0.5),2)*PerfPerfRate_subs)+PerfPerfRate_first,
IF(OR(G39="N",AND(TYA="NO",G39="T2R")),(INT((H39)/1)*ON_subs)+MAX(MOD(H39,0.5),1)*ON_first,
IF(G39="S",CEILING(H39,0.5)/0.5*SpanRate,
IF(G39="E",ROUNDUP(H39,0)*EmergFreeRate,)))))))))</f>
        <v>0</v>
      </c>
      <c r="J39" s="113">
        <f>SUM($F$7:F39)</f>
        <v>0</v>
      </c>
      <c r="K39" s="121"/>
      <c r="L39" s="115"/>
      <c r="M39" s="94"/>
      <c r="N39" s="88"/>
    </row>
    <row r="40" spans="2:20" x14ac:dyDescent="0.2">
      <c r="B40" s="136">
        <f>IF(B32="","",B32+1)</f>
        <v>44009</v>
      </c>
      <c r="C40" s="7"/>
      <c r="D40" s="8"/>
      <c r="E40" s="8"/>
      <c r="F40" s="72">
        <f t="shared" si="0"/>
        <v>0</v>
      </c>
      <c r="G40" s="14"/>
      <c r="H40" s="9"/>
      <c r="I40" s="6" cm="1">
        <f t="array" ref="I40" xml:space="preserve">
IF(H40&lt;=0,0,
IF(OR(G40="O",G40="T1",AND(TYA="No",OR(G40="T2N",G40="T3"))),IF(OR(SUM(IF($G$39:$G39="O",$I$39:$I39,0))+SUM(IF($G$39:$G39="T1",$I$39:$I39,0))+SUM(IF($G$39:$G39="T2N",$I$39:$I39,0))+SUM(IF($G$39:$G39="T3",$I$39:$I39,0))=0),(CEILING(H40,0.5)-0.5)/0.5*Reg_Subs+Reg_First,CEILING(H40,0.5)/0.5*Reg_Subs),
IF(G40="M",MIN((CEILING(H40,0.5)-0.5)/0.5,10)*Double_Subs+Double_First + N("MIN 10 kludge to avoid removing cap"),
IF(G40="F",MAX(WeeklyFee/7,4*FreeRate,ROUNDUP(H40,0)*FreeRate),
IF(G40="R",IF(CEILING(H40,0.5)=0.5,RehPerfRate_1,IF(CEILING(H40,0.5)=1,RehPerfRate_2+RehPerfRate_1,IF(CEILING(H40,0.5)&gt;=1.5,RehPerfRate_3+RehPerfRate_2+RehPerfRate_1))),
IF(G40="P",(MIN(((CEILING(H40,0.5)-0.5)/0.5),2)*PerfPerfRate_subs)+PerfPerfRate_first,
IF(OR(G40="N",AND(TYA="NO",G40="T2R")),(INT((H40)/1)*ON_subs)+MAX(MOD(H40,0.5),1)*ON_first,
IF(G40="S",CEILING(H40,0.5)/0.5*SpanRate,
IF(G40="E",ROUNDUP(H40,0)*EmergFreeRate,)))))))))</f>
        <v>0</v>
      </c>
      <c r="J40" s="113">
        <f>SUM($F$7:F40)</f>
        <v>0</v>
      </c>
      <c r="K40" s="121"/>
      <c r="L40" s="115"/>
      <c r="M40" s="95"/>
      <c r="N40" s="89"/>
    </row>
    <row r="41" spans="2:20" x14ac:dyDescent="0.2">
      <c r="B41" s="56"/>
      <c r="C41" s="7"/>
      <c r="D41" s="8"/>
      <c r="E41" s="8"/>
      <c r="F41" s="72">
        <f t="shared" si="0"/>
        <v>0</v>
      </c>
      <c r="G41" s="4"/>
      <c r="H41" s="9"/>
      <c r="I41" s="6" cm="1">
        <f t="array" ref="I41" xml:space="preserve">
IF(H41&lt;=0,0,
IF(OR(G41="O",G41="T1",AND(TYA="No",OR(G41="T2N",G41="T3"))),IF(OR(SUM(IF($G$39:$G40="O",$I$39:$I40,0))+SUM(IF($G$39:$G40="T1",$I$39:$I40,0))+SUM(IF($G$39:$G40="T2N",$I$39:$I40,0))+SUM(IF($G$39:$G40="T3",$I$39:$I40,0))=0),(CEILING(H41,0.5)-0.5)/0.5*Reg_Subs+Reg_First,CEILING(H41,0.5)/0.5*Reg_Subs),
IF(G41="M",MIN((CEILING(H41,0.5)-0.5)/0.5,10)*Double_Subs+Double_First + N("MIN 10 kludge to avoid removing cap"),
IF(G41="F",MAX(WeeklyFee/7,4*FreeRate,ROUNDUP(H41,0)*FreeRate),
IF(G41="R",IF(CEILING(H41,0.5)=0.5,RehPerfRate_1,IF(CEILING(H41,0.5)=1,RehPerfRate_2+RehPerfRate_1,IF(CEILING(H41,0.5)&gt;=1.5,RehPerfRate_3+RehPerfRate_2+RehPerfRate_1))),
IF(G41="P",(MIN(((CEILING(H41,0.5)-0.5)/0.5),2)*PerfPerfRate_subs)+PerfPerfRate_first,
IF(OR(G41="N",AND(TYA="NO",G41="T2R")),(INT((H41)/1)*ON_subs)+MAX(MOD(H41,0.5),1)*ON_first,
IF(G41="S",CEILING(H41,0.5)/0.5*SpanRate,
IF(G41="E",ROUNDUP(H41,0)*EmergFreeRate,)))))))))</f>
        <v>0</v>
      </c>
      <c r="J41" s="113">
        <f>SUM($F$7:F41)</f>
        <v>0</v>
      </c>
      <c r="K41" s="121"/>
      <c r="L41" s="115"/>
      <c r="M41" s="95"/>
      <c r="N41" s="89"/>
    </row>
    <row r="42" spans="2:20" x14ac:dyDescent="0.2">
      <c r="B42" s="56"/>
      <c r="C42" s="7"/>
      <c r="D42" s="8"/>
      <c r="E42" s="8"/>
      <c r="F42" s="72">
        <f t="shared" si="0"/>
        <v>0</v>
      </c>
      <c r="G42" s="4"/>
      <c r="H42" s="9"/>
      <c r="I42" s="6" cm="1">
        <f t="array" ref="I42" xml:space="preserve">
IF(H42&lt;=0,0,
IF(OR(G42="O",G42="T1",AND(TYA="No",OR(G42="T2N",G42="T3"))),IF(OR(SUM(IF($G$39:$G41="O",$I$39:$I41,0))+SUM(IF($G$39:$G41="T1",$I$39:$I41,0))+SUM(IF($G$39:$G41="T2N",$I$39:$I41,0))+SUM(IF($G$39:$G41="T3",$I$39:$I41,0))=0),(CEILING(H42,0.5)-0.5)/0.5*Reg_Subs+Reg_First,CEILING(H42,0.5)/0.5*Reg_Subs),
IF(G42="M",MIN((CEILING(H42,0.5)-0.5)/0.5,10)*Double_Subs+Double_First + N("MIN 10 kludge to avoid removing cap"),
IF(G42="F",MAX(WeeklyFee/7,4*FreeRate,ROUNDUP(H42,0)*FreeRate),
IF(G42="R",IF(CEILING(H42,0.5)=0.5,RehPerfRate_1,IF(CEILING(H42,0.5)=1,RehPerfRate_2+RehPerfRate_1,IF(CEILING(H42,0.5)&gt;=1.5,RehPerfRate_3+RehPerfRate_2+RehPerfRate_1))),
IF(G42="P",(MIN(((CEILING(H42,0.5)-0.5)/0.5),2)*PerfPerfRate_subs)+PerfPerfRate_first,
IF(OR(G42="N",AND(TYA="NO",G42="T2R")),(INT((H42)/1)*ON_subs)+MAX(MOD(H42,0.5),1)*ON_first,
IF(G42="S",CEILING(H42,0.5)/0.5*SpanRate,
IF(G42="E",ROUNDUP(H42,0)*EmergFreeRate,)))))))))</f>
        <v>0</v>
      </c>
      <c r="J42" s="113">
        <f>SUM($F$7:F42)</f>
        <v>0</v>
      </c>
      <c r="K42" s="121"/>
      <c r="L42" s="115"/>
      <c r="M42" s="95"/>
      <c r="N42" s="90"/>
    </row>
    <row r="43" spans="2:20" x14ac:dyDescent="0.2">
      <c r="B43" s="56"/>
      <c r="C43" s="7"/>
      <c r="D43" s="8"/>
      <c r="E43" s="8"/>
      <c r="F43" s="72">
        <f t="shared" si="0"/>
        <v>0</v>
      </c>
      <c r="G43" s="4"/>
      <c r="H43" s="9"/>
      <c r="I43" s="6" cm="1">
        <f t="array" ref="I43" xml:space="preserve">
IF(H43&lt;=0,0,
IF(OR(G43="O",G43="T1",AND(TYA="No",OR(G43="T2N",G43="T3"))),IF(OR(SUM(IF($G$39:$G42="O",$I$39:$I42,0))+SUM(IF($G$39:$G42="T1",$I$39:$I42,0))+SUM(IF($G$39:$G42="T2N",$I$39:$I42,0))+SUM(IF($G$39:$G42="T3",$I$39:$I42,0))=0),(CEILING(H43,0.5)-0.5)/0.5*Reg_Subs+Reg_First,CEILING(H43,0.5)/0.5*Reg_Subs),
IF(G43="M",MIN((CEILING(H43,0.5)-0.5)/0.5,10)*Double_Subs+Double_First + N("MIN 10 kludge to avoid removing cap"),
IF(G43="F",MAX(WeeklyFee/7,4*FreeRate,ROUNDUP(H43,0)*FreeRate),
IF(G43="R",IF(CEILING(H43,0.5)=0.5,RehPerfRate_1,IF(CEILING(H43,0.5)=1,RehPerfRate_2+RehPerfRate_1,IF(CEILING(H43,0.5)&gt;=1.5,RehPerfRate_3+RehPerfRate_2+RehPerfRate_1))),
IF(G43="P",(MIN(((CEILING(H43,0.5)-0.5)/0.5),2)*PerfPerfRate_subs)+PerfPerfRate_first,
IF(OR(G43="N",AND(TYA="NO",G43="T2R")),(INT((H43)/1)*ON_subs)+MAX(MOD(H43,0.5),1)*ON_first,
IF(G43="S",CEILING(H43,0.5)/0.5*SpanRate,
IF(G43="E",ROUNDUP(H43,0)*EmergFreeRate,)))))))))</f>
        <v>0</v>
      </c>
      <c r="J43" s="113">
        <f>SUM($F$7:F43)</f>
        <v>0</v>
      </c>
      <c r="K43" s="121"/>
      <c r="L43" s="115"/>
      <c r="M43" s="95"/>
      <c r="N43" s="90"/>
    </row>
    <row r="44" spans="2:20" x14ac:dyDescent="0.2">
      <c r="B44" s="56"/>
      <c r="C44" s="7"/>
      <c r="D44" s="8"/>
      <c r="E44" s="8"/>
      <c r="F44" s="72">
        <f t="shared" si="0"/>
        <v>0</v>
      </c>
      <c r="G44" s="4"/>
      <c r="H44" s="9"/>
      <c r="I44" s="6" cm="1">
        <f t="array" ref="I44" xml:space="preserve">
IF(H44&lt;=0,0,
IF(OR(G44="O",G44="T1",AND(TYA="No",OR(G44="T2N",G44="T3"))),IF(OR(SUM(IF($G$39:$G43="O",$I$39:$I43,0))+SUM(IF($G$39:$G43="T1",$I$39:$I43,0))+SUM(IF($G$39:$G43="T2N",$I$39:$I43,0))+SUM(IF($G$39:$G43="T3",$I$39:$I43,0))=0),(CEILING(H44,0.5)-0.5)/0.5*Reg_Subs+Reg_First,CEILING(H44,0.5)/0.5*Reg_Subs),
IF(G44="M",MIN((CEILING(H44,0.5)-0.5)/0.5,10)*Double_Subs+Double_First + N("MIN 10 kludge to avoid removing cap"),
IF(G44="F",MAX(WeeklyFee/7,4*FreeRate,ROUNDUP(H44,0)*FreeRate),
IF(G44="R",IF(CEILING(H44,0.5)=0.5,RehPerfRate_1,IF(CEILING(H44,0.5)=1,RehPerfRate_2+RehPerfRate_1,IF(CEILING(H44,0.5)&gt;=1.5,RehPerfRate_3+RehPerfRate_2+RehPerfRate_1))),
IF(G44="P",(MIN(((CEILING(H44,0.5)-0.5)/0.5),2)*PerfPerfRate_subs)+PerfPerfRate_first,
IF(OR(G44="N",AND(TYA="NO",G44="T2R")),(INT((H44)/1)*ON_subs)+MAX(MOD(H44,0.5),1)*ON_first,
IF(G44="S",CEILING(H44,0.5)/0.5*SpanRate,
IF(G44="E",ROUNDUP(H44,0)*EmergFreeRate,)))))))))</f>
        <v>0</v>
      </c>
      <c r="J44" s="113">
        <f>SUM($F$7:F44)</f>
        <v>0</v>
      </c>
      <c r="K44" s="120"/>
      <c r="L44" s="115"/>
      <c r="M44" s="95"/>
      <c r="N44" s="90"/>
    </row>
    <row r="45" spans="2:20" x14ac:dyDescent="0.2">
      <c r="B45" s="56"/>
      <c r="C45" s="7"/>
      <c r="D45" s="8"/>
      <c r="E45" s="8"/>
      <c r="F45" s="72">
        <f t="shared" si="0"/>
        <v>0</v>
      </c>
      <c r="G45" s="4"/>
      <c r="H45" s="9"/>
      <c r="I45" s="6" cm="1">
        <f t="array" ref="I45" xml:space="preserve">
IF(H45&lt;=0,0,
IF(OR(G45="O",G45="T1",AND(TYA="No",OR(G45="T2N",G45="T3"))),IF(OR(SUM(IF($G$39:$G44="O",$I$39:$I44,0))+SUM(IF($G$39:$G44="T1",$I$39:$I44,0))+SUM(IF($G$39:$G44="T2N",$I$39:$I44,0))+SUM(IF($G$39:$G44="T3",$I$39:$I44,0))=0),(CEILING(H45,0.5)-0.5)/0.5*Reg_Subs+Reg_First,CEILING(H45,0.5)/0.5*Reg_Subs),
IF(G45="M",MIN((CEILING(H45,0.5)-0.5)/0.5,10)*Double_Subs+Double_First + N("MIN 10 kludge to avoid removing cap"),
IF(G45="F",MAX(WeeklyFee/7,4*FreeRate,ROUNDUP(H45,0)*FreeRate),
IF(G45="R",IF(CEILING(H45,0.5)=0.5,RehPerfRate_1,IF(CEILING(H45,0.5)=1,RehPerfRate_2+RehPerfRate_1,IF(CEILING(H45,0.5)&gt;=1.5,RehPerfRate_3+RehPerfRate_2+RehPerfRate_1))),
IF(G45="P",(MIN(((CEILING(H45,0.5)-0.5)/0.5),2)*PerfPerfRate_subs)+PerfPerfRate_first,
IF(OR(G45="N",AND(TYA="NO",G45="T2R")),(INT((H45)/1)*ON_subs)+MAX(MOD(H45,0.5),1)*ON_first,
IF(G45="S",CEILING(H45,0.5)/0.5*SpanRate,
IF(G45="E",ROUNDUP(H45,0)*EmergFreeRate,)))))))))</f>
        <v>0</v>
      </c>
      <c r="J45" s="113">
        <f>SUM($F$7:F45)</f>
        <v>0</v>
      </c>
      <c r="K45" s="120"/>
      <c r="L45" s="115"/>
      <c r="M45" s="95"/>
      <c r="N45" s="90"/>
    </row>
    <row r="46" spans="2:20" ht="17" thickBot="1" x14ac:dyDescent="0.25">
      <c r="B46" s="57"/>
      <c r="C46" s="10"/>
      <c r="D46" s="11"/>
      <c r="E46" s="11"/>
      <c r="F46" s="73">
        <f t="shared" si="0"/>
        <v>0</v>
      </c>
      <c r="G46" s="1"/>
      <c r="H46" s="12"/>
      <c r="I46" s="13" cm="1">
        <f t="array" ref="I46" xml:space="preserve">
IF(H46&lt;=0,0,
IF(OR(G46="O",G46="T1",AND(TYA="No",OR(G46="T2N",G46="T3"))),IF(OR(SUM(IF($G$39:$G45="O",$I$39:$I45,0))+SUM(IF($G$39:$G45="T1",$I$39:$I45,0))+SUM(IF($G$39:$G45="T2N",$I$39:$I45,0))+SUM(IF($G$39:$G45="T3",$I$39:$I45,0))=0),(CEILING(H46,0.5)-0.5)/0.5*Reg_Subs+Reg_First,CEILING(H46,0.5)/0.5*Reg_Subs),
IF(G46="M",MIN((CEILING(H46,0.5)-0.5)/0.5,10)*Double_Subs+Double_First + N("MIN 10 kludge to avoid removing cap"),
IF(G46="F",MAX(WeeklyFee/7,4*FreeRate,ROUNDUP(H46,0)*FreeRate),
IF(G46="R",IF(CEILING(H46,0.5)=0.5,RehPerfRate_1,IF(CEILING(H46,0.5)=1,RehPerfRate_2+RehPerfRate_1,IF(CEILING(H46,0.5)&gt;=1.5,RehPerfRate_3+RehPerfRate_2+RehPerfRate_1))),
IF(G46="P",(MIN(((CEILING(H46,0.5)-0.5)/0.5),2)*PerfPerfRate_subs)+PerfPerfRate_first,
IF(OR(G46="N",AND(TYA="NO",G46="T2R")),(INT((H46)/1)*ON_subs)+MAX(MOD(H46,0.5),1)*ON_first,
IF(G46="S",CEILING(H46,0.5)/0.5*SpanRate,
IF(G46="E",ROUNDUP(H46,0)*EmergFreeRate,)))))))))</f>
        <v>0</v>
      </c>
      <c r="J46" s="113">
        <f>SUM($F$7:F46)</f>
        <v>0</v>
      </c>
      <c r="K46" s="122"/>
      <c r="L46" s="115"/>
      <c r="M46" s="94"/>
      <c r="N46" s="90"/>
    </row>
    <row r="47" spans="2:20" x14ac:dyDescent="0.2">
      <c r="B47" s="2">
        <f>IF(B48="","",B48)</f>
        <v>44010</v>
      </c>
      <c r="C47" s="3"/>
      <c r="D47" s="80"/>
      <c r="E47" s="80"/>
      <c r="F47" s="72">
        <f t="shared" si="0"/>
        <v>0</v>
      </c>
      <c r="G47" s="4"/>
      <c r="H47" s="5"/>
      <c r="I47" s="6" cm="1">
        <f t="array" ref="I47" xml:space="preserve">
IF(H47&lt;=0,0,
IF(OR(G47="O", G47="T1",AND(TYA="No",OR(G47="T2N",G47="T3"))),(CEILING(H47,0.5)-0.5)/0.5*Reg_Subs+Reg_First,
IF(G47="M",MIN((CEILING(H47,0.5)-0.5)/0.5,10)*Double_Subs+Double_First + N("MIN 10 kludge to avoid removing cap"),
IF(G47="F",MAX(WeeklyFee/7,4*FreeRate,ROUNDUP(H47,0)*FreeRate),
IF(G47="R",IF(CEILING(H47,0.5)=0.5,RehPerfRate_1,IF(CEILING(H47,0.5)=1,RehPerfRate_2+RehPerfRate_1,IF(CEILING(H47,0.5)&gt;=1.5,RehPerfRate_3+RehPerfRate_2+RehPerfRate_1))),
IF(G47="P",(MIN(((CEILING(H47,0.5)-0.5)/0.5),2)*PerfPerfRate_subs)+PerfPerfRate_first,
IF(OR(G47="N",AND(TYA="NO",G47="T2R")),(INT((H47)/1)*ON_subs)+MAX(MOD(H47,0.5),1)*ON_first,
IF(G47="S",CEILING(H47,0.5)/0.5*SpanRate,
IF(G47="E",ROUNDUP(H47,0)*EmergFreeRate,)))))))))</f>
        <v>0</v>
      </c>
      <c r="J47" s="113">
        <f>SUM($F$7:F47)</f>
        <v>0</v>
      </c>
      <c r="K47" s="120"/>
      <c r="L47" s="115"/>
      <c r="M47" s="94"/>
      <c r="N47" s="88"/>
    </row>
    <row r="48" spans="2:20" x14ac:dyDescent="0.2">
      <c r="B48" s="136">
        <f>IF(B40="","",B40+1)</f>
        <v>44010</v>
      </c>
      <c r="C48" s="7"/>
      <c r="D48" s="8"/>
      <c r="E48" s="8"/>
      <c r="F48" s="72">
        <f t="shared" si="0"/>
        <v>0</v>
      </c>
      <c r="G48" s="14"/>
      <c r="H48" s="9"/>
      <c r="I48" s="6" cm="1">
        <f t="array" ref="I48" xml:space="preserve">
IF(H48&lt;=0,0,
IF(OR(G48="O",G48="T1",AND(TYA="No",OR(G48="T2N",G48="T3"))),IF(OR(SUM(IF($G$47:$G47="O",$I$47:$I47,0))+SUM(IF($G$47:$G47="T1",$I$47:$I47,0))+SUM(IF($G$47:$G47="T2N",$I$47:$I47,0))+SUM(IF($G$47:$G47="T3",$I$47:$I47,0))=0),(CEILING(H48,0.5)-0.5)/0.5*Reg_Subs+Reg_First,CEILING(H48,0.5)/0.5*Reg_Subs),
IF(G48="M",MIN((CEILING(H48,0.5)-0.5)/0.5,10)*Double_Subs+Double_First + N("MIN 10 kludge to avoid removing cap"),
IF(G48="F",MAX(WeeklyFee/7,4*FreeRate,ROUNDUP(H48,0)*FreeRate),
IF(G48="R",IF(CEILING(H48,0.5)=0.5,RehPerfRate_1,IF(CEILING(H48,0.5)=1,RehPerfRate_2+RehPerfRate_1,IF(CEILING(H48,0.5)&gt;=1.5,RehPerfRate_3+RehPerfRate_2+RehPerfRate_1))),
IF(G48="P",(MIN(((CEILING(H48,0.5)-0.5)/0.5),2)*PerfPerfRate_subs)+PerfPerfRate_first,
IF(OR(G48="N",AND(TYA="NO",G48="T2R")),(INT((H48)/1)*ON_subs)+MAX(MOD(H48,0.5),1)*ON_first,
IF(G48="S",CEILING(H48,0.5)/0.5*SpanRate,
IF(G48="E",ROUNDUP(H48,0)*EmergFreeRate,)))))))))</f>
        <v>0</v>
      </c>
      <c r="J48" s="113">
        <f>SUM($F$7:F48)</f>
        <v>0</v>
      </c>
      <c r="K48" s="120"/>
      <c r="L48" s="115"/>
      <c r="M48" s="95"/>
      <c r="N48" s="89"/>
      <c r="T48" s="60"/>
    </row>
    <row r="49" spans="2:20" x14ac:dyDescent="0.2">
      <c r="B49" s="56"/>
      <c r="C49" s="7"/>
      <c r="D49" s="8"/>
      <c r="E49" s="8"/>
      <c r="F49" s="72">
        <f t="shared" si="0"/>
        <v>0</v>
      </c>
      <c r="G49" s="4"/>
      <c r="H49" s="9"/>
      <c r="I49" s="6" cm="1">
        <f t="array" ref="I49" xml:space="preserve">
IF(H49&lt;=0,0,
IF(OR(G49="O",G49="T1",AND(TYA="No",OR(G49="T2N",G49="T3"))),IF(OR(SUM(IF($G$47:$G48="O",$I$47:$I48,0))+SUM(IF($G$47:$G48="T1",$I$47:$I48,0))+SUM(IF($G$47:$G48="T2N",$I$47:$I48,0))+SUM(IF($G$47:$G48="T3",$I$47:$I48,0))=0),(CEILING(H49,0.5)-0.5)/0.5*Reg_Subs+Reg_First,CEILING(H49,0.5)/0.5*Reg_Subs),
IF(G49="M",MIN((CEILING(H49,0.5)-0.5)/0.5,10)*Double_Subs+Double_First + N("MIN 10 kludge to avoid removing cap"),
IF(G49="F",MAX(WeeklyFee/7,4*FreeRate,ROUNDUP(H49,0)*FreeRate),
IF(G49="R",IF(CEILING(H49,0.5)=0.5,RehPerfRate_1,IF(CEILING(H49,0.5)=1,RehPerfRate_2+RehPerfRate_1,IF(CEILING(H49,0.5)&gt;=1.5,RehPerfRate_3+RehPerfRate_2+RehPerfRate_1))),
IF(G49="P",(MIN(((CEILING(H49,0.5)-0.5)/0.5),2)*PerfPerfRate_subs)+PerfPerfRate_first,
IF(OR(G49="N",AND(TYA="NO",G49="T2R")),(INT((H49)/1)*ON_subs)+MAX(MOD(H49,0.5),1)*ON_first,
IF(G49="S",CEILING(H49,0.5)/0.5*SpanRate,
IF(G49="E",ROUNDUP(H49,0)*EmergFreeRate,)))))))))</f>
        <v>0</v>
      </c>
      <c r="J49" s="113">
        <f>SUM($F$7:F49)</f>
        <v>0</v>
      </c>
      <c r="K49" s="123"/>
      <c r="L49" s="115"/>
      <c r="M49" s="95"/>
      <c r="N49" s="89"/>
      <c r="T49" s="60"/>
    </row>
    <row r="50" spans="2:20" x14ac:dyDescent="0.2">
      <c r="B50" s="56"/>
      <c r="C50" s="7"/>
      <c r="D50" s="8"/>
      <c r="E50" s="8"/>
      <c r="F50" s="72">
        <f t="shared" si="0"/>
        <v>0</v>
      </c>
      <c r="G50" s="4"/>
      <c r="H50" s="9"/>
      <c r="I50" s="6" cm="1">
        <f t="array" ref="I50" xml:space="preserve">
IF(H50&lt;=0,0,
IF(OR(G50="O",G50="T1",AND(TYA="No",OR(G50="T2N",G50="T3"))),IF(OR(SUM(IF($G$47:$G49="O",$I$47:$I49,0))+SUM(IF($G$47:$G49="T1",$I$47:$I49,0))+SUM(IF($G$47:$G49="T2N",$I$47:$I49,0))+SUM(IF($G$47:$G49="T3",$I$47:$I49,0))=0),(CEILING(H50,0.5)-0.5)/0.5*Reg_Subs+Reg_First,CEILING(H50,0.5)/0.5*Reg_Subs),
IF(G50="M",MIN((CEILING(H50,0.5)-0.5)/0.5,10)*Double_Subs+Double_First + N("MIN 10 kludge to avoid removing cap"),
IF(G50="F",MAX(WeeklyFee/7,4*FreeRate,ROUNDUP(H50,0)*FreeRate),
IF(G50="R",IF(CEILING(H50,0.5)=0.5,RehPerfRate_1,IF(CEILING(H50,0.5)=1,RehPerfRate_2+RehPerfRate_1,IF(CEILING(H50,0.5)&gt;=1.5,RehPerfRate_3+RehPerfRate_2+RehPerfRate_1))),
IF(G50="P",(MIN(((CEILING(H50,0.5)-0.5)/0.5),2)*PerfPerfRate_subs)+PerfPerfRate_first,
IF(OR(G50="N",AND(TYA="NO",G50="T2R")),(INT((H50)/1)*ON_subs)+MAX(MOD(H50,0.5),1)*ON_first,
IF(G50="S",CEILING(H50,0.5)/0.5*SpanRate,
IF(G50="E",ROUNDUP(H50,0)*EmergFreeRate,)))))))))</f>
        <v>0</v>
      </c>
      <c r="J50" s="113">
        <f>SUM($F$7:F50)</f>
        <v>0</v>
      </c>
      <c r="K50" s="123"/>
      <c r="L50" s="115"/>
      <c r="M50" s="95"/>
      <c r="N50" s="90"/>
      <c r="T50" s="60"/>
    </row>
    <row r="51" spans="2:20" x14ac:dyDescent="0.2">
      <c r="B51" s="56"/>
      <c r="C51" s="7"/>
      <c r="D51" s="8"/>
      <c r="E51" s="8"/>
      <c r="F51" s="72">
        <f t="shared" si="0"/>
        <v>0</v>
      </c>
      <c r="G51" s="4"/>
      <c r="H51" s="9"/>
      <c r="I51" s="6" cm="1">
        <f t="array" ref="I51" xml:space="preserve">
IF(H51&lt;=0,0,
IF(OR(G51="O",G51="T1",AND(TYA="No",OR(G51="T2N",G51="T3"))),IF(OR(SUM(IF($G$47:$G50="O",$I$47:$I50,0))+SUM(IF($G$47:$G50="T1",$I$47:$I50,0))+SUM(IF($G$47:$G50="T2N",$I$47:$I50,0))+SUM(IF($G$47:$G50="T3",$I$47:$I50,0))=0),(CEILING(H51,0.5)-0.5)/0.5*Reg_Subs+Reg_First,CEILING(H51,0.5)/0.5*Reg_Subs),
IF(G51="M",MIN((CEILING(H51,0.5)-0.5)/0.5,10)*Double_Subs+Double_First + N("MIN 10 kludge to avoid removing cap"),
IF(G51="F",MAX(WeeklyFee/7,4*FreeRate,ROUNDUP(H51,0)*FreeRate),
IF(G51="R",IF(CEILING(H51,0.5)=0.5,RehPerfRate_1,IF(CEILING(H51,0.5)=1,RehPerfRate_2+RehPerfRate_1,IF(CEILING(H51,0.5)&gt;=1.5,RehPerfRate_3+RehPerfRate_2+RehPerfRate_1))),
IF(G51="P",(MIN(((CEILING(H51,0.5)-0.5)/0.5),2)*PerfPerfRate_subs)+PerfPerfRate_first,
IF(OR(G51="N",AND(TYA="NO",G51="T2R")),(INT((H51)/1)*ON_subs)+MAX(MOD(H51,0.5),1)*ON_first,
IF(G51="S",CEILING(H51,0.5)/0.5*SpanRate,
IF(G51="E",ROUNDUP(H51,0)*EmergFreeRate,)))))))))</f>
        <v>0</v>
      </c>
      <c r="J51" s="113">
        <f>SUM($F$7:F51)</f>
        <v>0</v>
      </c>
      <c r="K51" s="123"/>
      <c r="L51" s="115"/>
      <c r="M51" s="95"/>
      <c r="N51" s="90"/>
      <c r="T51" s="60"/>
    </row>
    <row r="52" spans="2:20" x14ac:dyDescent="0.2">
      <c r="B52" s="56"/>
      <c r="C52" s="7"/>
      <c r="D52" s="8"/>
      <c r="E52" s="8"/>
      <c r="F52" s="72">
        <f t="shared" si="0"/>
        <v>0</v>
      </c>
      <c r="G52" s="4"/>
      <c r="H52" s="9"/>
      <c r="I52" s="6" cm="1">
        <f t="array" ref="I52" xml:space="preserve">
IF(H52&lt;=0,0,
IF(OR(G52="O",G52="T1",AND(TYA="No",OR(G52="T2N",G52="T3"))),IF(OR(SUM(IF($G$47:$G51="O",$I$47:$I51,0))+SUM(IF($G$47:$G51="T1",$I$47:$I51,0))+SUM(IF($G$47:$G51="T2N",$I$47:$I51,0))+SUM(IF($G$47:$G51="T3",$I$47:$I51,0))=0),(CEILING(H52,0.5)-0.5)/0.5*Reg_Subs+Reg_First,CEILING(H52,0.5)/0.5*Reg_Subs),
IF(G52="M",MIN((CEILING(H52,0.5)-0.5)/0.5,10)*Double_Subs+Double_First + N("MIN 10 kludge to avoid removing cap"),
IF(G52="F",MAX(WeeklyFee/7,4*FreeRate,ROUNDUP(H52,0)*FreeRate),
IF(G52="R",IF(CEILING(H52,0.5)=0.5,RehPerfRate_1,IF(CEILING(H52,0.5)=1,RehPerfRate_2+RehPerfRate_1,IF(CEILING(H52,0.5)&gt;=1.5,RehPerfRate_3+RehPerfRate_2+RehPerfRate_1))),
IF(G52="P",(MIN(((CEILING(H52,0.5)-0.5)/0.5),2)*PerfPerfRate_subs)+PerfPerfRate_first,
IF(OR(G52="N",AND(TYA="NO",G52="T2R")),(INT((H52)/1)*ON_subs)+MAX(MOD(H52,0.5),1)*ON_first,
IF(G52="S",CEILING(H52,0.5)/0.5*SpanRate,
IF(G52="E",ROUNDUP(H52,0)*EmergFreeRate,)))))))))</f>
        <v>0</v>
      </c>
      <c r="J52" s="113">
        <f>SUM($F$7:F52)</f>
        <v>0</v>
      </c>
      <c r="K52" s="120"/>
      <c r="L52" s="115"/>
      <c r="M52" s="95"/>
      <c r="N52" s="90"/>
      <c r="T52" s="60"/>
    </row>
    <row r="53" spans="2:20" x14ac:dyDescent="0.2">
      <c r="B53" s="56"/>
      <c r="C53" s="7"/>
      <c r="D53" s="8"/>
      <c r="E53" s="8"/>
      <c r="F53" s="72">
        <f t="shared" si="0"/>
        <v>0</v>
      </c>
      <c r="G53" s="4"/>
      <c r="H53" s="9"/>
      <c r="I53" s="6" cm="1">
        <f t="array" ref="I53" xml:space="preserve">
IF(H53&lt;=0,0,
IF(OR(G53="O",G53="T1",AND(TYA="No",OR(G53="T2N",G53="T3"))),IF(OR(SUM(IF($G$47:$G52="O",$I$47:$I52,0))+SUM(IF($G$47:$G52="T1",$I$47:$I52,0))+SUM(IF($G$47:$G52="T2N",$I$47:$I52,0))+SUM(IF($G$47:$G52="T3",$I$47:$I52,0))=0),(CEILING(H53,0.5)-0.5)/0.5*Reg_Subs+Reg_First,CEILING(H53,0.5)/0.5*Reg_Subs),
IF(G53="M",MIN((CEILING(H53,0.5)-0.5)/0.5,10)*Double_Subs+Double_First + N("MIN 10 kludge to avoid removing cap"),
IF(G53="F",MAX(WeeklyFee/7,4*FreeRate,ROUNDUP(H53,0)*FreeRate),
IF(G53="R",IF(CEILING(H53,0.5)=0.5,RehPerfRate_1,IF(CEILING(H53,0.5)=1,RehPerfRate_2+RehPerfRate_1,IF(CEILING(H53,0.5)&gt;=1.5,RehPerfRate_3+RehPerfRate_2+RehPerfRate_1))),
IF(G53="P",(MIN(((CEILING(H53,0.5)-0.5)/0.5),2)*PerfPerfRate_subs)+PerfPerfRate_first,
IF(OR(G53="N",AND(TYA="NO",G53="T2R")),(INT((H53)/1)*ON_subs)+MAX(MOD(H53,0.5),1)*ON_first,
IF(G53="S",CEILING(H53,0.5)/0.5*SpanRate,
IF(G53="E",ROUNDUP(H53,0)*EmergFreeRate,)))))))))</f>
        <v>0</v>
      </c>
      <c r="J53" s="113">
        <f>SUM($F$7:F53)</f>
        <v>0</v>
      </c>
      <c r="K53" s="120"/>
      <c r="L53" s="115"/>
      <c r="M53" s="95"/>
      <c r="N53" s="90"/>
      <c r="T53" s="60"/>
    </row>
    <row r="54" spans="2:20" ht="17" thickBot="1" x14ac:dyDescent="0.25">
      <c r="B54" s="57"/>
      <c r="C54" s="10"/>
      <c r="D54" s="11"/>
      <c r="E54" s="11"/>
      <c r="F54" s="73">
        <f t="shared" si="0"/>
        <v>0</v>
      </c>
      <c r="G54" s="1"/>
      <c r="H54" s="12"/>
      <c r="I54" s="13" cm="1">
        <f t="array" ref="I54" xml:space="preserve">
IF(H54&lt;=0,0,
IF(OR(G54="O",G54="T1",AND(TYA="No",OR(G54="T2N",G54="T3"))),IF(OR(SUM(IF($G$47:$G53="O",$I$47:$I53,0))+SUM(IF($G$47:$G53="T1",$I$47:$I53,0))+SUM(IF($G$47:$G53="T2N",$I$47:$I53,0))+SUM(IF($G$47:$G53="T3",$I$47:$I53,0))=0),(CEILING(H54,0.5)-0.5)/0.5*Reg_Subs+Reg_First,CEILING(H54,0.5)/0.5*Reg_Subs),
IF(G54="M",MIN((CEILING(H54,0.5)-0.5)/0.5,10)*Double_Subs+Double_First + N("MIN 10 kludge to avoid removing cap"),
IF(G54="F",MAX(WeeklyFee/7,4*FreeRate,ROUNDUP(H54,0)*FreeRate),
IF(G54="R",IF(CEILING(H54,0.5)=0.5,RehPerfRate_1,IF(CEILING(H54,0.5)=1,RehPerfRate_2+RehPerfRate_1,IF(CEILING(H54,0.5)&gt;=1.5,RehPerfRate_3+RehPerfRate_2+RehPerfRate_1))),
IF(G54="P",(MIN(((CEILING(H54,0.5)-0.5)/0.5),2)*PerfPerfRate_subs)+PerfPerfRate_first,
IF(OR(G54="N",AND(TYA="NO",G54="T2R")),(INT((H54)/1)*ON_subs)+MAX(MOD(H54,0.5),1)*ON_first,
IF(G54="S",CEILING(H54,0.5)/0.5*SpanRate,
IF(G54="E",ROUNDUP(H54,0)*EmergFreeRate,)))))))))</f>
        <v>0</v>
      </c>
      <c r="J54" s="113">
        <f>SUM($F$7:F54)</f>
        <v>0</v>
      </c>
      <c r="K54" s="120"/>
      <c r="L54" s="115"/>
      <c r="M54" s="94"/>
      <c r="N54" s="90"/>
      <c r="T54" s="60"/>
    </row>
    <row r="55" spans="2:20" x14ac:dyDescent="0.2">
      <c r="B55" s="2">
        <f>IF(B56="","",B56)</f>
        <v>44011</v>
      </c>
      <c r="C55" s="3"/>
      <c r="D55" s="80"/>
      <c r="E55" s="80"/>
      <c r="F55" s="72">
        <f t="shared" si="0"/>
        <v>0</v>
      </c>
      <c r="G55" s="4"/>
      <c r="H55" s="5"/>
      <c r="I55" s="6" cm="1">
        <f t="array" ref="I55" xml:space="preserve">
IF(H55&lt;=0,0,
IF(OR(G55="O", G55="T1",AND(TYA="No",OR(G55="T2N",G55="T3"))),(CEILING(H55,0.5)-0.5)/0.5*Reg_Subs+Reg_First,
IF(G55="M",MIN((CEILING(H55,0.5)-0.5)/0.5,10)*Double_Subs+Double_First + N("MIN 10 kludge to avoid removing cap"),
IF(G55="F",MAX(WeeklyFee/7,4*FreeRate,ROUNDUP(H55,0)*FreeRate),
IF(G55="R",IF(CEILING(H55,0.5)=0.5,RehPerfRate_1,IF(CEILING(H55,0.5)=1,RehPerfRate_2+RehPerfRate_1,IF(CEILING(H55,0.5)&gt;=1.5,RehPerfRate_3+RehPerfRate_2+RehPerfRate_1))),
IF(G55="P",(MIN(((CEILING(H55,0.5)-0.5)/0.5),2)*PerfPerfRate_subs)+PerfPerfRate_first,
IF(OR(G55="N",AND(TYA="NO",G55="T2R")),(INT((H55)/1)*ON_subs)+MAX(MOD(H55,0.5),1)*ON_first,
IF(G55="S",CEILING(H55,0.5)/0.5*SpanRate,
IF(G55="E",ROUNDUP(H55,0)*EmergFreeRate,)))))))))</f>
        <v>0</v>
      </c>
      <c r="J55" s="113">
        <f>SUM($F$7:F55)</f>
        <v>0</v>
      </c>
      <c r="K55" s="123"/>
      <c r="L55" s="115"/>
      <c r="M55" s="94"/>
      <c r="N55" s="88"/>
      <c r="T55" s="60"/>
    </row>
    <row r="56" spans="2:20" x14ac:dyDescent="0.2">
      <c r="B56" s="136">
        <f>IF(B48="","",B48+1)</f>
        <v>44011</v>
      </c>
      <c r="C56" s="7"/>
      <c r="D56" s="8"/>
      <c r="E56" s="8"/>
      <c r="F56" s="72">
        <f t="shared" si="0"/>
        <v>0</v>
      </c>
      <c r="G56" s="14"/>
      <c r="H56" s="9"/>
      <c r="I56" s="6" cm="1">
        <f t="array" ref="I56" xml:space="preserve">
IF(H56&lt;=0,0,
IF(OR(G56="O",G56="T1",AND(TYA="No",OR(G56="T2N",G56="T3"))),IF(OR(SUM(IF($G$55:$G55="O",$I$55:$I55,0))+SUM(IF($G$55:$G55="T1",$I$55:$I55,0))+SUM(IF($G$55:$G55="T2N",$I$55:$I55,0))+SUM(IF($G$55:$G55="T3",$I$55:$I55,0))=0),(CEILING(H56,0.5)-0.5)/0.5*Reg_Subs+Reg_First,CEILING(H56,0.5)/0.5*Reg_Subs),
IF(G56="M",MIN((CEILING(H56,0.5)-0.5)/0.5,10)*Double_Subs+Double_First + N("MIN 10 kludge to avoid removing cap"),
IF(G56="F",MAX(WeeklyFee/7,4*FreeRate,ROUNDUP(H56,0)*FreeRate),
IF(G56="R",IF(CEILING(H56,0.5)=0.5,RehPerfRate_1,IF(CEILING(H56,0.5)=1,RehPerfRate_2+RehPerfRate_1,IF(CEILING(H56,0.5)&gt;=1.5,RehPerfRate_3+RehPerfRate_2+RehPerfRate_1))),
IF(G56="P",(MIN(((CEILING(H56,0.5)-0.5)/0.5),2)*PerfPerfRate_subs)+PerfPerfRate_first,
IF(OR(G56="N",AND(TYA="NO",G56="T2R")),(INT((H56)/1)*ON_subs)+MAX(MOD(H56,0.5),1)*ON_first,
IF(G56="S",CEILING(H56,0.5)/0.5*SpanRate,
IF(G56="E",ROUNDUP(H56,0)*EmergFreeRate,)))))))))</f>
        <v>0</v>
      </c>
      <c r="J56" s="113">
        <f>SUM($F$7:F56)</f>
        <v>0</v>
      </c>
      <c r="K56" s="120"/>
      <c r="L56" s="115"/>
      <c r="M56" s="95"/>
      <c r="N56" s="89"/>
      <c r="T56" s="60"/>
    </row>
    <row r="57" spans="2:20" x14ac:dyDescent="0.2">
      <c r="B57" s="56"/>
      <c r="C57" s="7"/>
      <c r="D57" s="8"/>
      <c r="E57" s="8"/>
      <c r="F57" s="72">
        <f t="shared" si="0"/>
        <v>0</v>
      </c>
      <c r="G57" s="4"/>
      <c r="H57" s="9"/>
      <c r="I57" s="6" cm="1">
        <f t="array" ref="I57" xml:space="preserve">
IF(H57&lt;=0,0,
IF(OR(G57="O",G57="T1",AND(TYA="No",OR(G57="T2N",G57="T3"))),IF(OR(SUM(IF($G$55:$G56="O",$I$55:$I56,0))+SUM(IF($G$55:$G56="T1",$I$55:$I56,0))+SUM(IF($G$55:$G56="T2N",$I$55:$I56,0))+SUM(IF($G$55:$G56="T3",$I$55:$I56,0))=0),(CEILING(H57,0.5)-0.5)/0.5*Reg_Subs+Reg_First,CEILING(H57,0.5)/0.5*Reg_Subs),
IF(G57="M",MIN((CEILING(H57,0.5)-0.5)/0.5,10)*Double_Subs+Double_First + N("MIN 10 kludge to avoid removing cap"),
IF(G57="F",MAX(WeeklyFee/7,4*FreeRate,ROUNDUP(H57,0)*FreeRate),
IF(G57="R",IF(CEILING(H57,0.5)=0.5,RehPerfRate_1,IF(CEILING(H57,0.5)=1,RehPerfRate_2+RehPerfRate_1,IF(CEILING(H57,0.5)&gt;=1.5,RehPerfRate_3+RehPerfRate_2+RehPerfRate_1))),
IF(G57="P",(MIN(((CEILING(H57,0.5)-0.5)/0.5),2)*PerfPerfRate_subs)+PerfPerfRate_first,
IF(OR(G57="N",AND(TYA="NO",G57="T2R")),(INT((H57)/1)*ON_subs)+MAX(MOD(H57,0.5),1)*ON_first,
IF(G57="S",CEILING(H57,0.5)/0.5*SpanRate,
IF(G57="E",ROUNDUP(H57,0)*EmergFreeRate,)))))))))</f>
        <v>0</v>
      </c>
      <c r="J57" s="113">
        <f>SUM($F$7:F57)</f>
        <v>0</v>
      </c>
      <c r="K57" s="120"/>
      <c r="L57" s="115"/>
      <c r="M57" s="95"/>
      <c r="N57" s="89"/>
      <c r="T57" s="60"/>
    </row>
    <row r="58" spans="2:20" x14ac:dyDescent="0.2">
      <c r="B58" s="56"/>
      <c r="C58" s="7"/>
      <c r="D58" s="8"/>
      <c r="E58" s="8"/>
      <c r="F58" s="72">
        <f t="shared" si="0"/>
        <v>0</v>
      </c>
      <c r="G58" s="4"/>
      <c r="H58" s="9"/>
      <c r="I58" s="6" cm="1">
        <f t="array" ref="I58" xml:space="preserve">
IF(H58&lt;=0,0,
IF(OR(G58="O",G58="T1",AND(TYA="No",OR(G58="T2N",G58="T3"))),IF(OR(SUM(IF($G$55:$G57="O",$I$55:$I57,0))+SUM(IF($G$55:$G57="T1",$I$55:$I57,0))+SUM(IF($G$55:$G57="T2N",$I$55:$I57,0))+SUM(IF($G$55:$G57="T3",$I$55:$I57,0))=0),(CEILING(H58,0.5)-0.5)/0.5*Reg_Subs+Reg_First,CEILING(H58,0.5)/0.5*Reg_Subs),
IF(G58="M",MIN((CEILING(H58,0.5)-0.5)/0.5,10)*Double_Subs+Double_First + N("MIN 10 kludge to avoid removing cap"),
IF(G58="F",MAX(WeeklyFee/7,4*FreeRate,ROUNDUP(H58,0)*FreeRate),
IF(G58="R",IF(CEILING(H58,0.5)=0.5,RehPerfRate_1,IF(CEILING(H58,0.5)=1,RehPerfRate_2+RehPerfRate_1,IF(CEILING(H58,0.5)&gt;=1.5,RehPerfRate_3+RehPerfRate_2+RehPerfRate_1))),
IF(G58="P",(MIN(((CEILING(H58,0.5)-0.5)/0.5),2)*PerfPerfRate_subs)+PerfPerfRate_first,
IF(OR(G58="N",AND(TYA="NO",G58="T2R")),(INT((H58)/1)*ON_subs)+MAX(MOD(H58,0.5),1)*ON_first,
IF(G58="S",CEILING(H58,0.5)/0.5*SpanRate,
IF(G58="E",ROUNDUP(H58,0)*EmergFreeRate,)))))))))</f>
        <v>0</v>
      </c>
      <c r="J58" s="113">
        <f>SUM($F$7:F58)</f>
        <v>0</v>
      </c>
      <c r="K58" s="120"/>
      <c r="L58" s="115"/>
      <c r="M58" s="95"/>
      <c r="N58" s="90"/>
      <c r="T58" s="60"/>
    </row>
    <row r="59" spans="2:20" x14ac:dyDescent="0.2">
      <c r="B59" s="56"/>
      <c r="C59" s="7"/>
      <c r="D59" s="8"/>
      <c r="E59" s="8"/>
      <c r="F59" s="72">
        <f t="shared" si="0"/>
        <v>0</v>
      </c>
      <c r="G59" s="4"/>
      <c r="H59" s="9"/>
      <c r="I59" s="6" cm="1">
        <f t="array" ref="I59" xml:space="preserve">
IF(H59&lt;=0,0,
IF(OR(G59="O",G59="T1",AND(TYA="No",OR(G59="T2N",G59="T3"))),IF(OR(SUM(IF($G$55:$G58="O",$I$55:$I58,0))+SUM(IF($G$55:$G58="T1",$I$55:$I58,0))+SUM(IF($G$55:$G58="T2N",$I$55:$I58,0))+SUM(IF($G$55:$G58="T3",$I$55:$I58,0))=0),(CEILING(H59,0.5)-0.5)/0.5*Reg_Subs+Reg_First,CEILING(H59,0.5)/0.5*Reg_Subs),
IF(G59="M",MIN((CEILING(H59,0.5)-0.5)/0.5,10)*Double_Subs+Double_First + N("MIN 10 kludge to avoid removing cap"),
IF(G59="F",MAX(WeeklyFee/7,4*FreeRate,ROUNDUP(H59,0)*FreeRate),
IF(G59="R",IF(CEILING(H59,0.5)=0.5,RehPerfRate_1,IF(CEILING(H59,0.5)=1,RehPerfRate_2+RehPerfRate_1,IF(CEILING(H59,0.5)&gt;=1.5,RehPerfRate_3+RehPerfRate_2+RehPerfRate_1))),
IF(G59="P",(MIN(((CEILING(H59,0.5)-0.5)/0.5),2)*PerfPerfRate_subs)+PerfPerfRate_first,
IF(OR(G59="N",AND(TYA="NO",G59="T2R")),(INT((H59)/1)*ON_subs)+MAX(MOD(H59,0.5),1)*ON_first,
IF(G59="S",CEILING(H59,0.5)/0.5*SpanRate,
IF(G59="E",ROUNDUP(H59,0)*EmergFreeRate,)))))))))</f>
        <v>0</v>
      </c>
      <c r="J59" s="113">
        <f>SUM($F$7:F59)</f>
        <v>0</v>
      </c>
      <c r="K59" s="120"/>
      <c r="L59" s="115"/>
      <c r="M59" s="95"/>
      <c r="N59" s="90"/>
      <c r="T59" s="60"/>
    </row>
    <row r="60" spans="2:20" x14ac:dyDescent="0.2">
      <c r="B60" s="56"/>
      <c r="C60" s="7"/>
      <c r="D60" s="8"/>
      <c r="E60" s="8"/>
      <c r="F60" s="72">
        <f t="shared" si="0"/>
        <v>0</v>
      </c>
      <c r="G60" s="4"/>
      <c r="H60" s="9"/>
      <c r="I60" s="6" cm="1">
        <f t="array" ref="I60" xml:space="preserve">
IF(H60&lt;=0,0,
IF(OR(G60="O",G60="T1",AND(TYA="No",OR(G60="T2N",G60="T3"))),IF(OR(SUM(IF($G$55:$G59="O",$I$55:$I59,0))+SUM(IF($G$55:$G59="T1",$I$55:$I59,0))+SUM(IF($G$55:$G59="T2N",$I$55:$I59,0))+SUM(IF($G$55:$G59="T3",$I$55:$I59,0))=0),(CEILING(H60,0.5)-0.5)/0.5*Reg_Subs+Reg_First,CEILING(H60,0.5)/0.5*Reg_Subs),
IF(G60="M",MIN((CEILING(H60,0.5)-0.5)/0.5,10)*Double_Subs+Double_First + N("MIN 10 kludge to avoid removing cap"),
IF(G60="F",MAX(WeeklyFee/7,4*FreeRate,ROUNDUP(H60,0)*FreeRate),
IF(G60="R",IF(CEILING(H60,0.5)=0.5,RehPerfRate_1,IF(CEILING(H60,0.5)=1,RehPerfRate_2+RehPerfRate_1,IF(CEILING(H60,0.5)&gt;=1.5,RehPerfRate_3+RehPerfRate_2+RehPerfRate_1))),
IF(G60="P",(MIN(((CEILING(H60,0.5)-0.5)/0.5),2)*PerfPerfRate_subs)+PerfPerfRate_first,
IF(OR(G60="N",AND(TYA="NO",G60="T2R")),(INT((H60)/1)*ON_subs)+MAX(MOD(H60,0.5),1)*ON_first,
IF(G60="S",CEILING(H60,0.5)/0.5*SpanRate,
IF(G60="E",ROUNDUP(H60,0)*EmergFreeRate,)))))))))</f>
        <v>0</v>
      </c>
      <c r="J60" s="113">
        <f>SUM($F$7:F60)</f>
        <v>0</v>
      </c>
      <c r="K60" s="123"/>
      <c r="L60" s="115"/>
      <c r="M60" s="95"/>
      <c r="N60" s="90"/>
      <c r="T60" s="60"/>
    </row>
    <row r="61" spans="2:20" x14ac:dyDescent="0.2">
      <c r="B61" s="56"/>
      <c r="C61" s="7"/>
      <c r="D61" s="8"/>
      <c r="E61" s="8"/>
      <c r="F61" s="72">
        <f t="shared" si="0"/>
        <v>0</v>
      </c>
      <c r="G61" s="4"/>
      <c r="H61" s="9"/>
      <c r="I61" s="6" cm="1">
        <f t="array" ref="I61" xml:space="preserve">
IF(H61&lt;=0,0,
IF(OR(G61="O",G61="T1",AND(TYA="No",OR(G61="T2N",G61="T3"))),IF(OR(SUM(IF($G$55:$G60="O",$I$55:$I60,0))+SUM(IF($G$55:$G60="T1",$I$55:$I60,0))+SUM(IF($G$55:$G60="T2N",$I$55:$I60,0))+SUM(IF($G$55:$G60="T3",$I$55:$I60,0))=0),(CEILING(H61,0.5)-0.5)/0.5*Reg_Subs+Reg_First,CEILING(H61,0.5)/0.5*Reg_Subs),
IF(G61="M",MIN((CEILING(H61,0.5)-0.5)/0.5,10)*Double_Subs+Double_First + N("MIN 10 kludge to avoid removing cap"),
IF(G61="F",MAX(WeeklyFee/7,4*FreeRate,ROUNDUP(H61,0)*FreeRate),
IF(G61="R",IF(CEILING(H61,0.5)=0.5,RehPerfRate_1,IF(CEILING(H61,0.5)=1,RehPerfRate_2+RehPerfRate_1,IF(CEILING(H61,0.5)&gt;=1.5,RehPerfRate_3+RehPerfRate_2+RehPerfRate_1))),
IF(G61="P",(MIN(((CEILING(H61,0.5)-0.5)/0.5),2)*PerfPerfRate_subs)+PerfPerfRate_first,
IF(OR(G61="N",AND(TYA="NO",G61="T2R")),(INT((H61)/1)*ON_subs)+MAX(MOD(H61,0.5),1)*ON_first,
IF(G61="S",CEILING(H61,0.5)/0.5*SpanRate,
IF(G61="E",ROUNDUP(H61,0)*EmergFreeRate,)))))))))</f>
        <v>0</v>
      </c>
      <c r="J61" s="113">
        <f>SUM($F$7:F61)</f>
        <v>0</v>
      </c>
      <c r="K61" s="120"/>
      <c r="L61" s="115"/>
      <c r="M61" s="95"/>
      <c r="N61" s="90"/>
      <c r="T61" s="60"/>
    </row>
    <row r="62" spans="2:20" ht="17" thickBot="1" x14ac:dyDescent="0.25">
      <c r="B62" s="57"/>
      <c r="C62" s="10"/>
      <c r="D62" s="8"/>
      <c r="E62" s="11"/>
      <c r="F62" s="73">
        <f t="shared" si="0"/>
        <v>0</v>
      </c>
      <c r="G62" s="1"/>
      <c r="H62" s="12"/>
      <c r="I62" s="13" cm="1">
        <f t="array" ref="I62" xml:space="preserve">
IF(H62&lt;=0,0,
IF(OR(G62="O",G62="T1",AND(TYA="No",OR(G62="T2N",G62="T3"))),IF(OR(SUM(IF($G$55:$G61="O",$I$55:$I61,0))+SUM(IF($G$55:$G61="T1",$I$55:$I61,0))+SUM(IF($G$55:$G61="T2N",$I$55:$I61,0))+SUM(IF($G$55:$G61="T3",$I$55:$I61,0))=0),(CEILING(H62,0.5)-0.5)/0.5*Reg_Subs+Reg_First,CEILING(H62,0.5)/0.5*Reg_Subs),
IF(G62="M",MIN((CEILING(H62,0.5)-0.5)/0.5,10)*Double_Subs+Double_First + N("MIN 10 kludge to avoid removing cap"),
IF(G62="F",MAX(WeeklyFee/7,4*FreeRate,ROUNDUP(H62,0)*FreeRate),
IF(G62="R",IF(CEILING(H62,0.5)=0.5,RehPerfRate_1,IF(CEILING(H62,0.5)=1,RehPerfRate_2+RehPerfRate_1,IF(CEILING(H62,0.5)&gt;=1.5,RehPerfRate_3+RehPerfRate_2+RehPerfRate_1))),
IF(G62="P",(MIN(((CEILING(H62,0.5)-0.5)/0.5),2)*PerfPerfRate_subs)+PerfPerfRate_first,
IF(OR(G62="N",AND(TYA="NO",G62="T2R")),(INT((H62)/1)*ON_subs)+MAX(MOD(H62,0.5),1)*ON_first,
IF(G62="S",CEILING(H62,0.5)/0.5*SpanRate,
IF(G62="E",ROUNDUP(H62,0)*EmergFreeRate,)))))))))</f>
        <v>0</v>
      </c>
      <c r="J62" s="113">
        <f>SUM($F$7:F62)</f>
        <v>0</v>
      </c>
      <c r="K62" s="120"/>
      <c r="L62" s="115"/>
      <c r="M62" s="94"/>
      <c r="N62" s="90"/>
      <c r="T62" s="60"/>
    </row>
    <row r="63" spans="2:20" ht="17" thickBot="1" x14ac:dyDescent="0.25">
      <c r="B63" s="145"/>
      <c r="C63" s="146"/>
      <c r="D63" s="147"/>
      <c r="E63" s="33" t="s">
        <v>14</v>
      </c>
      <c r="F63" s="74">
        <f>SUM(F7:F62)</f>
        <v>0</v>
      </c>
      <c r="G63" s="58"/>
      <c r="H63" s="57"/>
      <c r="I63" s="15">
        <f>SUM(I7:I62)</f>
        <v>0</v>
      </c>
      <c r="J63" s="124"/>
      <c r="K63" s="120"/>
      <c r="L63" s="115"/>
      <c r="M63" s="94"/>
      <c r="N63" s="90"/>
    </row>
    <row r="64" spans="2:20" ht="17" thickBot="1" x14ac:dyDescent="0.25">
      <c r="B64" s="34"/>
      <c r="C64" s="35"/>
      <c r="D64" s="35"/>
      <c r="E64" s="36"/>
      <c r="F64" s="36"/>
      <c r="G64" s="36"/>
      <c r="H64" s="36"/>
      <c r="I64" s="36"/>
      <c r="J64" s="125"/>
      <c r="K64" s="121"/>
      <c r="L64" s="115"/>
    </row>
    <row r="65" spans="2:17" ht="17" thickBot="1" x14ac:dyDescent="0.25">
      <c r="B65" s="152" t="s">
        <v>76</v>
      </c>
      <c r="C65" s="148"/>
      <c r="D65" s="148"/>
      <c r="E65" s="148"/>
      <c r="F65" s="148" t="s">
        <v>46</v>
      </c>
      <c r="G65" s="148"/>
      <c r="H65" s="37" t="s">
        <v>10</v>
      </c>
      <c r="I65" s="38" t="s">
        <v>11</v>
      </c>
      <c r="J65" s="126"/>
      <c r="K65" s="121"/>
      <c r="L65" s="115"/>
      <c r="M65" s="184"/>
      <c r="N65" s="185"/>
    </row>
    <row r="66" spans="2:17" x14ac:dyDescent="0.2">
      <c r="B66" s="149" t="s">
        <v>27</v>
      </c>
      <c r="C66" s="150"/>
      <c r="D66" s="150"/>
      <c r="E66" s="39" t="s">
        <v>44</v>
      </c>
      <c r="F66" s="151"/>
      <c r="G66" s="151"/>
      <c r="H66" s="75">
        <f>SUMIF($G$7:$G$62,"O",$H$7:$H$62)</f>
        <v>0</v>
      </c>
      <c r="I66" s="16">
        <f>SUMIF($G$7:$G$62,"O",$I$7:$I$62)</f>
        <v>0</v>
      </c>
      <c r="J66" s="127"/>
      <c r="K66" s="121"/>
      <c r="L66" s="115"/>
      <c r="M66" s="95"/>
      <c r="N66" s="88"/>
    </row>
    <row r="67" spans="2:17" x14ac:dyDescent="0.2">
      <c r="B67" s="140" t="s">
        <v>82</v>
      </c>
      <c r="C67" s="141"/>
      <c r="D67" s="141"/>
      <c r="E67" s="40" t="s">
        <v>41</v>
      </c>
      <c r="F67" s="151"/>
      <c r="G67" s="151"/>
      <c r="H67" s="76">
        <f>SUMIF($G$7:$G$62,"S",$H$7:$H$62)</f>
        <v>0</v>
      </c>
      <c r="I67" s="65">
        <f>SUMIF($G$7:$G$62,"S",$I$7:$I$62)</f>
        <v>0</v>
      </c>
      <c r="J67" s="127"/>
      <c r="K67" s="121"/>
      <c r="L67" s="115"/>
      <c r="M67" s="94"/>
      <c r="N67" s="91"/>
    </row>
    <row r="68" spans="2:17" ht="17" thickBot="1" x14ac:dyDescent="0.25">
      <c r="B68" s="63" t="s">
        <v>79</v>
      </c>
      <c r="C68" s="43"/>
      <c r="D68" s="43"/>
      <c r="E68" s="61" t="str">
        <f>IF(TYA="No","T1 + T2N + T3","T1")</f>
        <v>T1 + T2N + T3</v>
      </c>
      <c r="F68" s="66"/>
      <c r="G68" s="64"/>
      <c r="H68" s="77">
        <f>SUMIF($G$7:$G$62,"T1",$H$7:$H$62)+IF(TYA="No",SUMIF($G$7:$G$62,"T2N",$H$7:$H$62)+SUMIF($G$7:$G$62,"T3",$H$7:$H$62))</f>
        <v>0</v>
      </c>
      <c r="I68" s="17">
        <f>SUMIF($G$7:$G$62,"T1",$I$7:$I$62)+IF(TYA="No",SUMIF($G$7:$G$62,"T2N",$I$7:$I$62)+SUMIF($G$7:$G$62,"T3",$I$7:$I$62))</f>
        <v>0</v>
      </c>
      <c r="J68" s="127"/>
      <c r="K68" s="121"/>
      <c r="L68" s="115"/>
      <c r="M68" s="95"/>
      <c r="N68" s="91"/>
    </row>
    <row r="69" spans="2:17" ht="17" thickBot="1" x14ac:dyDescent="0.25">
      <c r="B69" s="152" t="s">
        <v>77</v>
      </c>
      <c r="C69" s="148"/>
      <c r="D69" s="148"/>
      <c r="E69" s="148"/>
      <c r="F69" s="148"/>
      <c r="G69" s="148"/>
      <c r="H69" s="41"/>
      <c r="I69" s="38"/>
      <c r="J69" s="126"/>
      <c r="K69" s="121"/>
      <c r="L69" s="115"/>
      <c r="M69" s="94"/>
      <c r="N69" s="91"/>
    </row>
    <row r="70" spans="2:17" x14ac:dyDescent="0.2">
      <c r="B70" s="153" t="s">
        <v>29</v>
      </c>
      <c r="C70" s="154"/>
      <c r="D70" s="154"/>
      <c r="E70" s="40" t="s">
        <v>4</v>
      </c>
      <c r="F70" s="151"/>
      <c r="G70" s="151"/>
      <c r="H70" s="75">
        <f>SUMIF($G$7:$G$62,"R",$H$7:$H$62)</f>
        <v>0</v>
      </c>
      <c r="I70" s="16">
        <f>SUMIF($G$7:$G$62,"R",$I$7:$I$62)</f>
        <v>0</v>
      </c>
      <c r="J70" s="127"/>
      <c r="K70" s="121"/>
      <c r="L70" s="115"/>
      <c r="M70" s="96"/>
      <c r="N70" s="91"/>
    </row>
    <row r="71" spans="2:17" x14ac:dyDescent="0.2">
      <c r="B71" s="140" t="s">
        <v>43</v>
      </c>
      <c r="C71" s="141"/>
      <c r="D71" s="141"/>
      <c r="E71" s="40" t="s">
        <v>48</v>
      </c>
      <c r="F71" s="143"/>
      <c r="G71" s="144"/>
      <c r="H71" s="75">
        <f>SUMIF($G$7:$G$62,"P",$H$7:$H$62)</f>
        <v>0</v>
      </c>
      <c r="I71" s="16">
        <f>SUMIF($G$7:$G$62,"P",$I$7:$I$62)</f>
        <v>0</v>
      </c>
      <c r="J71" s="127"/>
      <c r="K71" s="128"/>
      <c r="L71" s="115"/>
    </row>
    <row r="72" spans="2:17" x14ac:dyDescent="0.2">
      <c r="B72" s="140" t="s">
        <v>28</v>
      </c>
      <c r="C72" s="141"/>
      <c r="D72" s="141"/>
      <c r="E72" s="42" t="s">
        <v>42</v>
      </c>
      <c r="F72" s="142"/>
      <c r="G72" s="142"/>
      <c r="H72" s="78">
        <f>SUMIF($G$7:$G$62,"M",$H$7:$H$62)</f>
        <v>0</v>
      </c>
      <c r="I72" s="18">
        <f>SUMIF($G$7:$G$62,"M",$I$7:$I$62)</f>
        <v>0</v>
      </c>
      <c r="J72" s="127"/>
      <c r="K72" s="121"/>
      <c r="L72" s="115"/>
      <c r="M72" s="165"/>
      <c r="N72" s="166"/>
      <c r="O72" s="59"/>
    </row>
    <row r="73" spans="2:17" x14ac:dyDescent="0.2">
      <c r="B73" s="140" t="s">
        <v>84</v>
      </c>
      <c r="C73" s="141"/>
      <c r="D73" s="141"/>
      <c r="E73" s="42" t="str">
        <f>IF(TYA="no","N + T2R","N")</f>
        <v>N + T2R</v>
      </c>
      <c r="F73" s="143"/>
      <c r="G73" s="144"/>
      <c r="H73" s="79">
        <f>SUMIF($G$7:$G$62,"N",$H$7:$H$62)+IF(TYA="No",SUMIF($G$7:$G$62,"T2R",$H$7:$H$62))</f>
        <v>0</v>
      </c>
      <c r="I73" s="18">
        <f>SUMIF($G$7:$G$62,"N",$I$7:$I$62)+IF(TYA="No",SUMIF($G$7:$G$62,"T2R",$I$7:$I$62))</f>
        <v>0</v>
      </c>
      <c r="J73" s="127"/>
      <c r="K73" s="121"/>
      <c r="L73" s="115"/>
      <c r="M73" s="166"/>
      <c r="N73" s="166"/>
      <c r="O73" s="59"/>
    </row>
    <row r="74" spans="2:17" ht="17" thickBot="1" x14ac:dyDescent="0.25">
      <c r="B74" s="140" t="s">
        <v>30</v>
      </c>
      <c r="C74" s="141"/>
      <c r="D74" s="141"/>
      <c r="E74" s="42" t="s">
        <v>45</v>
      </c>
      <c r="F74" s="137"/>
      <c r="G74" s="137"/>
      <c r="H74" s="77">
        <f>SUMIF($G$7:$G$62,"F",$H$7:$H$62)</f>
        <v>0</v>
      </c>
      <c r="I74" s="17">
        <f>SUMIF($G$7:$G$62,"F",$I$7:$I$62)</f>
        <v>0</v>
      </c>
      <c r="J74" s="127"/>
      <c r="K74" s="121"/>
      <c r="L74" s="115"/>
      <c r="M74" s="166"/>
      <c r="N74" s="166"/>
      <c r="O74" s="59"/>
    </row>
    <row r="75" spans="2:17" ht="17" thickBot="1" x14ac:dyDescent="0.25">
      <c r="B75" s="138" t="str">
        <f>IF(AND(F_Total&gt;0,F_Total&lt;WeeklyFee/7),"Free day rate was adjusted to minimum of 1/7 weekly fee.","")</f>
        <v/>
      </c>
      <c r="C75" s="139"/>
      <c r="D75" s="139"/>
      <c r="E75" s="139"/>
      <c r="F75" s="44"/>
      <c r="G75" s="44"/>
      <c r="H75" s="45" t="s">
        <v>58</v>
      </c>
      <c r="I75" s="22">
        <f>SUM(I66:I74)</f>
        <v>0</v>
      </c>
      <c r="J75" s="126"/>
      <c r="K75" s="121"/>
      <c r="L75" s="115"/>
      <c r="M75" s="166"/>
      <c r="N75" s="166"/>
      <c r="O75" s="59"/>
    </row>
    <row r="76" spans="2:17" s="47" customFormat="1" ht="17" thickBot="1" x14ac:dyDescent="0.25">
      <c r="B76" s="152" t="s">
        <v>55</v>
      </c>
      <c r="C76" s="148"/>
      <c r="D76" s="148"/>
      <c r="E76" s="148"/>
      <c r="F76" s="148"/>
      <c r="G76" s="148"/>
      <c r="H76" s="148"/>
      <c r="I76" s="164"/>
      <c r="J76" s="129"/>
      <c r="K76" s="130"/>
      <c r="L76" s="131"/>
      <c r="M76" s="166"/>
      <c r="N76" s="166"/>
      <c r="O76" s="59"/>
      <c r="P76" s="46"/>
      <c r="Q76" s="46"/>
    </row>
    <row r="77" spans="2:17" s="47" customFormat="1" x14ac:dyDescent="0.2">
      <c r="B77" s="140" t="s">
        <v>3</v>
      </c>
      <c r="C77" s="141"/>
      <c r="D77" s="141"/>
      <c r="E77" s="181"/>
      <c r="F77" s="182" t="s">
        <v>56</v>
      </c>
      <c r="G77" s="183"/>
      <c r="H77" s="19"/>
      <c r="I77" s="23" t="str">
        <f>IF(H77="","",H77*2&amp;"/8 salary")</f>
        <v/>
      </c>
      <c r="J77" s="129"/>
      <c r="K77" s="130"/>
      <c r="L77" s="131"/>
      <c r="M77" s="166"/>
      <c r="N77" s="166"/>
      <c r="P77" s="46"/>
      <c r="Q77" s="46"/>
    </row>
    <row r="78" spans="2:17" s="47" customFormat="1" ht="15.75" customHeight="1" thickBot="1" x14ac:dyDescent="0.25">
      <c r="B78" s="48" t="s">
        <v>53</v>
      </c>
      <c r="C78" s="177"/>
      <c r="D78" s="178"/>
      <c r="E78" s="178"/>
      <c r="F78" s="179"/>
      <c r="G78" s="180"/>
      <c r="H78" s="20"/>
      <c r="I78" s="21"/>
      <c r="J78" s="126"/>
      <c r="K78" s="126"/>
      <c r="L78" s="132"/>
      <c r="M78" s="166"/>
      <c r="N78" s="166"/>
    </row>
    <row r="79" spans="2:17" x14ac:dyDescent="0.2">
      <c r="B79" s="43"/>
      <c r="C79" s="43"/>
      <c r="D79" s="43"/>
      <c r="E79" s="43"/>
      <c r="F79" s="44"/>
      <c r="G79" s="49"/>
      <c r="H79" s="50" t="s">
        <v>49</v>
      </c>
      <c r="I79" s="24">
        <f>IF(I77="",I78+I75,"")</f>
        <v>0</v>
      </c>
      <c r="J79" s="133"/>
      <c r="K79" s="133"/>
      <c r="L79" s="134"/>
    </row>
  </sheetData>
  <sheetProtection algorithmName="SHA-512" hashValue="U8+ySmztde/jVdPBSMAWM0vzS1ZFFrb7MVwBwhtNYibjtzHHzXanmpuuNZxt0GD/XA9H23awa0j+OLOn3txzfA==" saltValue="+qQutmqv3Homj8b6draFrg==" spinCount="100000" sheet="1" objects="1" scenarios="1"/>
  <customSheetViews>
    <customSheetView guid="{4DA624B5-9423-9C4A-BFD6-ABBAF707F93F}" scale="133" showPageBreaks="1" showGridLines="0" showRowCol="0" outlineSymbols="0" zeroValues="0" fitToPage="1" printArea="1" view="pageLayout">
      <selection activeCell="B19" sqref="B19"/>
      <pageMargins left="0.25" right="0.28999999999999998" top="0.25" bottom="0.25" header="0.5" footer="0.5"/>
      <printOptions horizontalCentered="1"/>
      <pageSetup paperSize="5" scale="78" orientation="portrait" horizontalDpi="4294967292" verticalDpi="4294967292"/>
    </customSheetView>
  </customSheetViews>
  <mergeCells count="38">
    <mergeCell ref="H76:I76"/>
    <mergeCell ref="M72:N78"/>
    <mergeCell ref="J3:K3"/>
    <mergeCell ref="J22:L22"/>
    <mergeCell ref="G5:L5"/>
    <mergeCell ref="M5:N5"/>
    <mergeCell ref="F66:G66"/>
    <mergeCell ref="C78:G78"/>
    <mergeCell ref="B77:E77"/>
    <mergeCell ref="F77:G77"/>
    <mergeCell ref="B74:D74"/>
    <mergeCell ref="B76:E76"/>
    <mergeCell ref="F76:G76"/>
    <mergeCell ref="M65:N65"/>
    <mergeCell ref="B72:D72"/>
    <mergeCell ref="B65:E65"/>
    <mergeCell ref="I1:K1"/>
    <mergeCell ref="J2:K2"/>
    <mergeCell ref="M6:N6"/>
    <mergeCell ref="C1:G1"/>
    <mergeCell ref="C2:G2"/>
    <mergeCell ref="C3:D3"/>
    <mergeCell ref="B71:D71"/>
    <mergeCell ref="B69:E69"/>
    <mergeCell ref="F69:G69"/>
    <mergeCell ref="F70:G70"/>
    <mergeCell ref="B70:D70"/>
    <mergeCell ref="F71:G71"/>
    <mergeCell ref="B63:D63"/>
    <mergeCell ref="F65:G65"/>
    <mergeCell ref="B66:D66"/>
    <mergeCell ref="B67:D67"/>
    <mergeCell ref="F67:G67"/>
    <mergeCell ref="F74:G74"/>
    <mergeCell ref="B75:E75"/>
    <mergeCell ref="B73:D73"/>
    <mergeCell ref="F72:G72"/>
    <mergeCell ref="F73:G73"/>
  </mergeCells>
  <phoneticPr fontId="3"/>
  <conditionalFormatting sqref="H6:H7">
    <cfRule type="expression" dxfId="32" priority="14">
      <formula>TYA</formula>
    </cfRule>
  </conditionalFormatting>
  <conditionalFormatting sqref="H15 H23 H31 H39 H47 H55">
    <cfRule type="expression" dxfId="31" priority="1">
      <formula>TYA</formula>
    </cfRule>
  </conditionalFormatting>
  <conditionalFormatting sqref="I7:I62">
    <cfRule type="expression" dxfId="30" priority="48">
      <formula>G7="F"</formula>
    </cfRule>
  </conditionalFormatting>
  <conditionalFormatting sqref="I66">
    <cfRule type="expression" dxfId="29" priority="13">
      <formula>$H$66&gt;0</formula>
    </cfRule>
  </conditionalFormatting>
  <conditionalFormatting sqref="I67">
    <cfRule type="expression" dxfId="28" priority="12">
      <formula>$H$67&gt;0</formula>
    </cfRule>
  </conditionalFormatting>
  <conditionalFormatting sqref="I68">
    <cfRule type="expression" dxfId="27" priority="11">
      <formula>$H$68&gt;0</formula>
    </cfRule>
  </conditionalFormatting>
  <conditionalFormatting sqref="I70">
    <cfRule type="expression" dxfId="26" priority="10">
      <formula>$H$70&gt;0</formula>
    </cfRule>
  </conditionalFormatting>
  <conditionalFormatting sqref="I71">
    <cfRule type="expression" dxfId="25" priority="9">
      <formula>$H$71&gt;0</formula>
    </cfRule>
  </conditionalFormatting>
  <conditionalFormatting sqref="I72">
    <cfRule type="expression" dxfId="24" priority="8">
      <formula>$H$72&gt;0</formula>
    </cfRule>
  </conditionalFormatting>
  <conditionalFormatting sqref="I73">
    <cfRule type="expression" dxfId="23" priority="7">
      <formula>$H$73&gt;0</formula>
    </cfRule>
  </conditionalFormatting>
  <conditionalFormatting sqref="I74">
    <cfRule type="expression" dxfId="22" priority="47">
      <formula>$H$74&gt;0</formula>
    </cfRule>
  </conditionalFormatting>
  <conditionalFormatting sqref="I77">
    <cfRule type="expression" dxfId="21" priority="6">
      <formula>$H$77&gt;0</formula>
    </cfRule>
  </conditionalFormatting>
  <conditionalFormatting sqref="I78">
    <cfRule type="expression" dxfId="20" priority="5">
      <formula>$I$78&gt;0</formula>
    </cfRule>
  </conditionalFormatting>
  <conditionalFormatting sqref="M67:M70">
    <cfRule type="expression" dxfId="19" priority="21">
      <formula>H69="F"</formula>
    </cfRule>
  </conditionalFormatting>
  <conditionalFormatting sqref="M27:N27">
    <cfRule type="expression" dxfId="18" priority="43">
      <formula>H27="F"</formula>
    </cfRule>
  </conditionalFormatting>
  <conditionalFormatting sqref="M35:N35">
    <cfRule type="expression" dxfId="17" priority="41">
      <formula>H35="F"</formula>
    </cfRule>
  </conditionalFormatting>
  <conditionalFormatting sqref="M43:N43">
    <cfRule type="expression" dxfId="16" priority="39">
      <formula>H43="F"</formula>
    </cfRule>
  </conditionalFormatting>
  <conditionalFormatting sqref="M51:N51">
    <cfRule type="expression" dxfId="15" priority="37">
      <formula>H51="F"</formula>
    </cfRule>
  </conditionalFormatting>
  <conditionalFormatting sqref="M59:N59">
    <cfRule type="expression" dxfId="14" priority="35">
      <formula>H59="F"</formula>
    </cfRule>
  </conditionalFormatting>
  <conditionalFormatting sqref="M63:N63">
    <cfRule type="expression" dxfId="13" priority="20">
      <formula>H63="F"</formula>
    </cfRule>
  </conditionalFormatting>
  <conditionalFormatting sqref="M66:N66">
    <cfRule type="expression" dxfId="12" priority="31">
      <formula>H67="F"</formula>
    </cfRule>
  </conditionalFormatting>
  <conditionalFormatting sqref="N10:N11">
    <cfRule type="expression" dxfId="11" priority="66">
      <formula>M8="F"</formula>
    </cfRule>
  </conditionalFormatting>
  <conditionalFormatting sqref="N18:N19">
    <cfRule type="expression" dxfId="10" priority="46">
      <formula>M16="F"</formula>
    </cfRule>
  </conditionalFormatting>
  <conditionalFormatting sqref="N26:N27">
    <cfRule type="expression" dxfId="9" priority="44">
      <formula>M24="F"</formula>
    </cfRule>
  </conditionalFormatting>
  <conditionalFormatting sqref="N34:N35">
    <cfRule type="expression" dxfId="8" priority="42">
      <formula>M32="F"</formula>
    </cfRule>
  </conditionalFormatting>
  <conditionalFormatting sqref="N42:N43">
    <cfRule type="expression" dxfId="7" priority="40">
      <formula>M40="F"</formula>
    </cfRule>
  </conditionalFormatting>
  <conditionalFormatting sqref="N50:N51">
    <cfRule type="expression" dxfId="6" priority="38">
      <formula>M48="F"</formula>
    </cfRule>
  </conditionalFormatting>
  <conditionalFormatting sqref="N58:N59">
    <cfRule type="expression" dxfId="5" priority="36">
      <formula>M56="F"</formula>
    </cfRule>
  </conditionalFormatting>
  <conditionalFormatting sqref="N67">
    <cfRule type="expression" dxfId="4" priority="30">
      <formula>#REF!="F"</formula>
    </cfRule>
  </conditionalFormatting>
  <conditionalFormatting sqref="N68">
    <cfRule type="expression" dxfId="3" priority="28">
      <formula>M66="F"</formula>
    </cfRule>
  </conditionalFormatting>
  <conditionalFormatting sqref="N69">
    <cfRule type="expression" dxfId="2" priority="25">
      <formula>I71="F"</formula>
    </cfRule>
  </conditionalFormatting>
  <conditionalFormatting sqref="N70">
    <cfRule type="expression" dxfId="1" priority="22">
      <formula>M68="F"</formula>
    </cfRule>
  </conditionalFormatting>
  <conditionalFormatting sqref="T48:T62">
    <cfRule type="expression" dxfId="0" priority="15">
      <formula>T48&gt;Weekly_Threshold</formula>
    </cfRule>
  </conditionalFormatting>
  <dataValidations count="3">
    <dataValidation type="list" allowBlank="1" showDropDown="1" showErrorMessage="1" errorTitle="Code Error" error="You have entered an invalid overtime or penalty code." promptTitle="Code Error" prompt="You have entered an invalid overtime or penalty code." sqref="G7:G62" xr:uid="{F039582F-4947-B345-9FC6-E6147AF9D5E7}">
      <formula1>"O,S,R,P,M,N,F,E,T1,T2R,T2N,T3,o,s,r,p,m,n,f,e,t1,t2r,t2n,t3"</formula1>
    </dataValidation>
    <dataValidation type="custom" allowBlank="1" showErrorMessage="1" errorTitle="Entry error" error="Values must be a positive multiple of 0.5. CTA-ITA amounts calculate on a half-hour basis. " sqref="H7:H62" xr:uid="{9B1C6777-147F-3248-B9A4-270F08038B20}">
      <formula1>AND(MOD(H7,0.5)=0,H7&gt;0)</formula1>
    </dataValidation>
    <dataValidation type="list" allowBlank="1" showInputMessage="1" showErrorMessage="1" sqref="J3:K3" xr:uid="{B28C9FE6-CB28-CA4D-A29D-B5FA688940B3}">
      <formula1>"Yes,No"</formula1>
    </dataValidation>
  </dataValidations>
  <printOptions horizontalCentered="1"/>
  <pageMargins left="0.25" right="6.7000000000000004E-2" top="0.25" bottom="0.25" header="0.5" footer="0.5"/>
  <pageSetup paperSize="5" scale="71" orientation="portrait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76AD3-DF1B-7B4D-9F57-B20792E1E3F0}">
  <dimension ref="A1"/>
  <sheetViews>
    <sheetView showGridLines="0" showRowColHeaders="0" workbookViewId="0">
      <selection activeCell="H57" sqref="H57"/>
    </sheetView>
  </sheetViews>
  <sheetFormatPr baseColWidth="10" defaultColWidth="10.83203125" defaultRowHeight="13" x14ac:dyDescent="0.2"/>
  <sheetData/>
  <sheetProtection algorithmName="SHA-512" hashValue="r0llRogHoqfsGv0ygl/PuewKl+2Ltw6msU+D/Hm1wjhhhpn1j8Vjh5wX+41FA1PYN1NrSuKQH5SIRdXsa4n6bQ==" saltValue="FJycwcPjXpNsuuXMyZA7Ug==" spinCount="100000" sheet="1" objects="1" scenarios="1" selectLockedCells="1" selectUnlockedCells="1"/>
  <pageMargins left="0.7" right="0.7" top="0.75" bottom="0.75" header="0.3" footer="0.3"/>
  <pageSetup paperSize="5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1"/>
  <sheetViews>
    <sheetView showGridLines="0" showRowColHeaders="0" zoomScaleNormal="100" workbookViewId="0">
      <selection sqref="A1:G1"/>
    </sheetView>
  </sheetViews>
  <sheetFormatPr baseColWidth="10" defaultColWidth="10.6640625" defaultRowHeight="13" x14ac:dyDescent="0.2"/>
  <cols>
    <col min="1" max="1" width="1.83203125" style="81" customWidth="1"/>
    <col min="2" max="2" width="10.6640625" style="81"/>
    <col min="3" max="3" width="19.83203125" style="81" customWidth="1"/>
    <col min="4" max="4" width="9.83203125" style="81" customWidth="1"/>
    <col min="5" max="5" width="1.6640625" style="81" customWidth="1"/>
    <col min="6" max="6" width="9" style="81" customWidth="1"/>
    <col min="7" max="7" width="1.6640625" style="81" customWidth="1"/>
    <col min="8" max="8" width="4.1640625" style="81" customWidth="1"/>
    <col min="9" max="9" width="10.83203125" style="81" customWidth="1"/>
    <col min="10" max="12" width="12.83203125" style="81" customWidth="1"/>
    <col min="13" max="15" width="4.1640625" style="81" customWidth="1"/>
    <col min="16" max="16384" width="10.6640625" style="81"/>
  </cols>
  <sheetData>
    <row r="1" spans="1:13" ht="48.75" customHeight="1" x14ac:dyDescent="0.2">
      <c r="A1" s="186" t="s">
        <v>88</v>
      </c>
      <c r="B1" s="187"/>
      <c r="C1" s="187"/>
      <c r="D1" s="187"/>
      <c r="E1" s="187"/>
      <c r="F1" s="187"/>
      <c r="G1" s="188"/>
      <c r="J1" s="189" t="s">
        <v>90</v>
      </c>
      <c r="K1" s="190"/>
      <c r="L1" s="191"/>
      <c r="M1" s="82"/>
    </row>
    <row r="2" spans="1:13" x14ac:dyDescent="0.2">
      <c r="A2" s="99"/>
      <c r="B2" s="100"/>
      <c r="C2" s="100"/>
      <c r="D2" s="100"/>
      <c r="E2" s="100"/>
      <c r="F2" s="100"/>
      <c r="G2" s="101"/>
      <c r="I2" s="83" t="s">
        <v>86</v>
      </c>
      <c r="J2" s="98">
        <v>44005</v>
      </c>
      <c r="K2" s="98">
        <v>44369</v>
      </c>
      <c r="L2" s="98">
        <v>44733</v>
      </c>
    </row>
    <row r="3" spans="1:13" x14ac:dyDescent="0.2">
      <c r="A3" s="99"/>
      <c r="B3" s="100" t="s">
        <v>5</v>
      </c>
      <c r="C3" s="100"/>
      <c r="D3" s="100"/>
      <c r="E3" s="100"/>
      <c r="F3" s="102" t="s">
        <v>70</v>
      </c>
      <c r="G3" s="101"/>
      <c r="I3" s="83" t="s">
        <v>87</v>
      </c>
      <c r="J3" s="98">
        <v>44368</v>
      </c>
      <c r="K3" s="98">
        <v>44732</v>
      </c>
      <c r="L3" s="98">
        <v>45096</v>
      </c>
    </row>
    <row r="4" spans="1:13" x14ac:dyDescent="0.2">
      <c r="A4" s="99"/>
      <c r="B4" s="100"/>
      <c r="C4" s="100" t="s">
        <v>15</v>
      </c>
      <c r="D4" s="108">
        <f>IF(AND(Timesheet!$B$8&gt;='Contract Rates'!$J$2,Timesheet!$B$8&lt;='Contract Rates'!$J$3),'Contract Rates'!J4,IF(AND(Timesheet!$B$8&gt;='Contract Rates'!$K$2,Timesheet!$B$8&lt;='Contract Rates'!$K$3),'Contract Rates'!K4,IF(AND(Timesheet!$B$8&gt;='Contract Rates'!$L$2,Timesheet!$B$8&lt;='Contract Rates'!$L$3),'Contract Rates'!L4,"Date error")))</f>
        <v>17.75</v>
      </c>
      <c r="E4" s="100"/>
      <c r="F4" s="100" t="s">
        <v>62</v>
      </c>
      <c r="G4" s="101"/>
      <c r="J4" s="84">
        <v>17.75</v>
      </c>
      <c r="K4" s="84">
        <v>18.5</v>
      </c>
      <c r="L4" s="84">
        <v>19.25</v>
      </c>
    </row>
    <row r="5" spans="1:13" x14ac:dyDescent="0.2">
      <c r="A5" s="99"/>
      <c r="B5" s="100"/>
      <c r="C5" s="100" t="s">
        <v>16</v>
      </c>
      <c r="D5" s="108">
        <f>IF(AND(Timesheet!$B$8&gt;='Contract Rates'!$J$2,Timesheet!$B$8&lt;='Contract Rates'!$J$3),'Contract Rates'!J5,IF(AND(Timesheet!$B$8&gt;='Contract Rates'!$K$2,Timesheet!$B$8&lt;='Contract Rates'!$K$3),'Contract Rates'!K5,IF(AND(Timesheet!$B$8&gt;='Contract Rates'!$L$2,Timesheet!$B$8&lt;='Contract Rates'!$L$3),'Contract Rates'!L5,"Date error")))</f>
        <v>21.75</v>
      </c>
      <c r="E5" s="100"/>
      <c r="F5" s="100" t="s">
        <v>63</v>
      </c>
      <c r="G5" s="101"/>
      <c r="J5" s="84">
        <v>21.75</v>
      </c>
      <c r="K5" s="84">
        <v>22.5</v>
      </c>
      <c r="L5" s="84">
        <v>23.25</v>
      </c>
    </row>
    <row r="6" spans="1:13" x14ac:dyDescent="0.2">
      <c r="A6" s="99"/>
      <c r="B6" s="100"/>
      <c r="C6" s="100"/>
      <c r="D6" s="103"/>
      <c r="E6" s="100"/>
      <c r="F6" s="100"/>
      <c r="G6" s="101"/>
      <c r="J6" s="85"/>
      <c r="K6" s="85"/>
      <c r="L6" s="85"/>
    </row>
    <row r="7" spans="1:13" x14ac:dyDescent="0.2">
      <c r="A7" s="99"/>
      <c r="B7" s="100" t="s">
        <v>17</v>
      </c>
      <c r="C7" s="100"/>
      <c r="D7" s="103"/>
      <c r="E7" s="100"/>
      <c r="F7" s="102" t="s">
        <v>71</v>
      </c>
      <c r="G7" s="101"/>
      <c r="J7" s="85"/>
      <c r="K7" s="85"/>
      <c r="L7" s="85"/>
    </row>
    <row r="8" spans="1:13" x14ac:dyDescent="0.2">
      <c r="A8" s="99"/>
      <c r="B8" s="100"/>
      <c r="C8" s="100" t="s">
        <v>15</v>
      </c>
      <c r="D8" s="108">
        <f>IF(AND(Timesheet!$B$8&gt;='Contract Rates'!$J$2,Timesheet!$B$8&lt;='Contract Rates'!$J$3),'Contract Rates'!J8,IF(AND(Timesheet!$B$8&gt;='Contract Rates'!$K$2,Timesheet!$B$8&lt;='Contract Rates'!$K$3),'Contract Rates'!K8,IF(AND(Timesheet!$B$8&gt;='Contract Rates'!$L$2,Timesheet!$B$8&lt;='Contract Rates'!$L$3),'Contract Rates'!L8,"Date error")))</f>
        <v>34.25</v>
      </c>
      <c r="E8" s="100"/>
      <c r="F8" s="102" t="s">
        <v>62</v>
      </c>
      <c r="G8" s="101"/>
      <c r="J8" s="84">
        <v>34.25</v>
      </c>
      <c r="K8" s="84">
        <v>35.5</v>
      </c>
      <c r="L8" s="84">
        <v>36.75</v>
      </c>
    </row>
    <row r="9" spans="1:13" x14ac:dyDescent="0.2">
      <c r="A9" s="99"/>
      <c r="B9" s="100"/>
      <c r="C9" s="100" t="s">
        <v>19</v>
      </c>
      <c r="D9" s="108">
        <f>IF(AND(Timesheet!$B$8&gt;='Contract Rates'!$J$2,Timesheet!$B$8&lt;='Contract Rates'!$J$3),'Contract Rates'!J9,IF(AND(Timesheet!$B$8&gt;='Contract Rates'!$K$2,Timesheet!$B$8&lt;='Contract Rates'!$K$3),'Contract Rates'!K9,IF(AND(Timesheet!$B$8&gt;='Contract Rates'!$L$2,Timesheet!$B$8&lt;='Contract Rates'!$L$3),'Contract Rates'!L9,"Date error")))</f>
        <v>42.5</v>
      </c>
      <c r="E9" s="100"/>
      <c r="F9" s="102" t="s">
        <v>63</v>
      </c>
      <c r="G9" s="101"/>
      <c r="J9" s="84">
        <v>42.5</v>
      </c>
      <c r="K9" s="84">
        <v>44</v>
      </c>
      <c r="L9" s="84">
        <v>45.5</v>
      </c>
    </row>
    <row r="10" spans="1:13" x14ac:dyDescent="0.2">
      <c r="A10" s="99"/>
      <c r="B10" s="100"/>
      <c r="C10" s="100"/>
      <c r="D10" s="103"/>
      <c r="E10" s="100"/>
      <c r="F10" s="100"/>
      <c r="G10" s="101"/>
      <c r="J10" s="85"/>
      <c r="K10" s="85"/>
      <c r="L10" s="85"/>
    </row>
    <row r="11" spans="1:13" x14ac:dyDescent="0.2">
      <c r="A11" s="99"/>
      <c r="B11" s="100" t="s">
        <v>22</v>
      </c>
      <c r="C11" s="100"/>
      <c r="D11" s="103"/>
      <c r="E11" s="100"/>
      <c r="F11" s="102" t="s">
        <v>91</v>
      </c>
      <c r="G11" s="101"/>
      <c r="J11" s="85"/>
      <c r="K11" s="85"/>
      <c r="L11" s="85"/>
    </row>
    <row r="12" spans="1:13" x14ac:dyDescent="0.2">
      <c r="A12" s="99"/>
      <c r="B12" s="100"/>
      <c r="C12" s="100" t="s">
        <v>23</v>
      </c>
      <c r="D12" s="108">
        <f>IF(AND(Timesheet!$B$8&gt;='Contract Rates'!$J$2,Timesheet!$B$8&lt;='Contract Rates'!$J$3),'Contract Rates'!J12,IF(AND(Timesheet!$B$8&gt;='Contract Rates'!$K$2,Timesheet!$B$8&lt;='Contract Rates'!$K$3),'Contract Rates'!K12,IF(AND(Timesheet!$B$8&gt;='Contract Rates'!$L$2,Timesheet!$B$8&lt;='Contract Rates'!$L$3),'Contract Rates'!L12,"Date error")))</f>
        <v>28.5</v>
      </c>
      <c r="E12" s="100"/>
      <c r="F12" s="100"/>
      <c r="G12" s="101"/>
      <c r="J12" s="97">
        <v>28.5</v>
      </c>
      <c r="K12" s="97">
        <v>29.5</v>
      </c>
      <c r="L12" s="97">
        <v>30.5</v>
      </c>
    </row>
    <row r="13" spans="1:13" x14ac:dyDescent="0.2">
      <c r="A13" s="99"/>
      <c r="B13" s="100"/>
      <c r="C13" s="100"/>
      <c r="D13" s="103"/>
      <c r="E13" s="100"/>
      <c r="F13" s="100"/>
      <c r="G13" s="101"/>
      <c r="J13" s="71"/>
      <c r="K13" s="71"/>
      <c r="L13" s="71"/>
    </row>
    <row r="14" spans="1:13" x14ac:dyDescent="0.2">
      <c r="A14" s="99"/>
      <c r="B14" s="100" t="s">
        <v>35</v>
      </c>
      <c r="C14" s="100"/>
      <c r="D14" s="103"/>
      <c r="E14" s="100"/>
      <c r="F14" s="100" t="s">
        <v>65</v>
      </c>
      <c r="G14" s="101"/>
      <c r="J14" s="71"/>
      <c r="K14" s="71"/>
      <c r="L14" s="71"/>
    </row>
    <row r="15" spans="1:13" x14ac:dyDescent="0.2">
      <c r="A15" s="99"/>
      <c r="B15" s="100"/>
      <c r="C15" s="100" t="s">
        <v>15</v>
      </c>
      <c r="D15" s="108">
        <f>IF(AND(Timesheet!$B$8&gt;='Contract Rates'!$J$2,Timesheet!$B$8&lt;='Contract Rates'!$J$3),'Contract Rates'!J15,IF(AND(Timesheet!$B$8&gt;='Contract Rates'!$K$2,Timesheet!$B$8&lt;='Contract Rates'!$K$3),'Contract Rates'!K15,IF(AND(Timesheet!$B$8&gt;='Contract Rates'!$L$2,Timesheet!$B$8&lt;='Contract Rates'!$L$3),'Contract Rates'!L15,"Date error")))</f>
        <v>21.75</v>
      </c>
      <c r="E15" s="100"/>
      <c r="F15" s="100" t="s">
        <v>62</v>
      </c>
      <c r="G15" s="101"/>
      <c r="J15" s="84">
        <v>21.75</v>
      </c>
      <c r="K15" s="84">
        <v>22.5</v>
      </c>
      <c r="L15" s="84">
        <v>23.25</v>
      </c>
    </row>
    <row r="16" spans="1:13" x14ac:dyDescent="0.2">
      <c r="A16" s="99"/>
      <c r="B16" s="100"/>
      <c r="C16" s="100" t="s">
        <v>20</v>
      </c>
      <c r="D16" s="108">
        <f>IF(AND(Timesheet!$B$8&gt;='Contract Rates'!$J$2,Timesheet!$B$8&lt;='Contract Rates'!$J$3),'Contract Rates'!J16,IF(AND(Timesheet!$B$8&gt;='Contract Rates'!$K$2,Timesheet!$B$8&lt;='Contract Rates'!$K$3),'Contract Rates'!K16,IF(AND(Timesheet!$B$8&gt;='Contract Rates'!$L$2,Timesheet!$B$8&lt;='Contract Rates'!$L$3),'Contract Rates'!L16,"Date error")))</f>
        <v>23</v>
      </c>
      <c r="E16" s="100"/>
      <c r="F16" s="100" t="s">
        <v>63</v>
      </c>
      <c r="G16" s="101"/>
      <c r="J16" s="84">
        <v>23</v>
      </c>
      <c r="K16" s="84">
        <v>23.75</v>
      </c>
      <c r="L16" s="84">
        <v>24.5</v>
      </c>
    </row>
    <row r="17" spans="1:12" x14ac:dyDescent="0.2">
      <c r="A17" s="99"/>
      <c r="B17" s="100"/>
      <c r="C17" s="100" t="s">
        <v>21</v>
      </c>
      <c r="D17" s="108">
        <f>IF(AND(Timesheet!$B$8&gt;='Contract Rates'!$J$2,Timesheet!$B$8&lt;='Contract Rates'!$J$3),'Contract Rates'!J17,IF(AND(Timesheet!$B$8&gt;='Contract Rates'!$K$2,Timesheet!$B$8&lt;='Contract Rates'!$K$3),'Contract Rates'!K17,IF(AND(Timesheet!$B$8&gt;='Contract Rates'!$L$2,Timesheet!$B$8&lt;='Contract Rates'!$L$3),'Contract Rates'!L17,"Date error")))</f>
        <v>46.5</v>
      </c>
      <c r="E17" s="100"/>
      <c r="F17" s="100" t="s">
        <v>66</v>
      </c>
      <c r="G17" s="101"/>
      <c r="J17" s="84">
        <v>46.5</v>
      </c>
      <c r="K17" s="84">
        <v>48</v>
      </c>
      <c r="L17" s="84">
        <v>49.5</v>
      </c>
    </row>
    <row r="18" spans="1:12" x14ac:dyDescent="0.2">
      <c r="A18" s="99"/>
      <c r="B18" s="100"/>
      <c r="C18" s="100"/>
      <c r="D18" s="103"/>
      <c r="E18" s="100"/>
      <c r="F18" s="100"/>
      <c r="G18" s="101"/>
      <c r="J18" s="71"/>
      <c r="K18" s="71"/>
      <c r="L18" s="71"/>
    </row>
    <row r="19" spans="1:12" x14ac:dyDescent="0.2">
      <c r="A19" s="99"/>
      <c r="B19" s="100" t="s">
        <v>39</v>
      </c>
      <c r="C19" s="100"/>
      <c r="D19" s="103"/>
      <c r="E19" s="100"/>
      <c r="F19" s="100" t="s">
        <v>67</v>
      </c>
      <c r="G19" s="101"/>
      <c r="J19" s="71"/>
      <c r="K19" s="71"/>
      <c r="L19" s="71"/>
    </row>
    <row r="20" spans="1:12" x14ac:dyDescent="0.2">
      <c r="A20" s="99"/>
      <c r="B20" s="100"/>
      <c r="C20" s="100" t="s">
        <v>15</v>
      </c>
      <c r="D20" s="108">
        <f>IF(AND(Timesheet!$B$8&gt;='Contract Rates'!$J$2,Timesheet!$B$8&lt;='Contract Rates'!$J$3),'Contract Rates'!J20,IF(AND(Timesheet!$B$8&gt;='Contract Rates'!$K$2,Timesheet!$B$8&lt;='Contract Rates'!$K$3),'Contract Rates'!K20,IF(AND(Timesheet!$B$8&gt;='Contract Rates'!$L$2,Timesheet!$B$8&lt;='Contract Rates'!$L$3),'Contract Rates'!L20,"Date error")))</f>
        <v>21.75</v>
      </c>
      <c r="E20" s="100"/>
      <c r="F20" s="100" t="s">
        <v>62</v>
      </c>
      <c r="G20" s="101"/>
      <c r="J20" s="84">
        <v>21.75</v>
      </c>
      <c r="K20" s="84">
        <v>22.5</v>
      </c>
      <c r="L20" s="84">
        <v>23.25</v>
      </c>
    </row>
    <row r="21" spans="1:12" x14ac:dyDescent="0.2">
      <c r="A21" s="99"/>
      <c r="B21" s="100"/>
      <c r="C21" s="100" t="s">
        <v>20</v>
      </c>
      <c r="D21" s="108">
        <f>IF(AND(Timesheet!$B$8&gt;='Contract Rates'!$J$2,Timesheet!$B$8&lt;='Contract Rates'!$J$3),'Contract Rates'!J21,IF(AND(Timesheet!$B$8&gt;='Contract Rates'!$K$2,Timesheet!$B$8&lt;='Contract Rates'!$K$3),'Contract Rates'!K21,IF(AND(Timesheet!$B$8&gt;='Contract Rates'!$L$2,Timesheet!$B$8&lt;='Contract Rates'!$L$3),'Contract Rates'!L21,"Date error")))</f>
        <v>45</v>
      </c>
      <c r="E21" s="100"/>
      <c r="F21" s="100" t="s">
        <v>63</v>
      </c>
      <c r="G21" s="101"/>
      <c r="J21" s="84">
        <v>45</v>
      </c>
      <c r="K21" s="84">
        <v>46.5</v>
      </c>
      <c r="L21" s="84">
        <v>48</v>
      </c>
    </row>
    <row r="22" spans="1:12" x14ac:dyDescent="0.2">
      <c r="A22" s="99"/>
      <c r="B22" s="100"/>
      <c r="C22" s="100"/>
      <c r="D22" s="103"/>
      <c r="E22" s="100"/>
      <c r="F22" s="100"/>
      <c r="G22" s="101"/>
      <c r="J22" s="71"/>
      <c r="K22" s="71"/>
      <c r="L22" s="71"/>
    </row>
    <row r="23" spans="1:12" x14ac:dyDescent="0.2">
      <c r="A23" s="99"/>
      <c r="B23" s="100" t="s">
        <v>34</v>
      </c>
      <c r="C23" s="100"/>
      <c r="D23" s="103"/>
      <c r="E23" s="100"/>
      <c r="F23" s="102" t="s">
        <v>71</v>
      </c>
      <c r="G23" s="101"/>
      <c r="J23" s="71"/>
      <c r="K23" s="71"/>
      <c r="L23" s="71"/>
    </row>
    <row r="24" spans="1:12" x14ac:dyDescent="0.2">
      <c r="A24" s="99"/>
      <c r="B24" s="100"/>
      <c r="C24" s="100" t="s">
        <v>15</v>
      </c>
      <c r="D24" s="108">
        <f>D8</f>
        <v>34.25</v>
      </c>
      <c r="E24" s="100"/>
      <c r="F24" s="102" t="s">
        <v>62</v>
      </c>
      <c r="G24" s="101"/>
      <c r="J24" s="84">
        <f>J8</f>
        <v>34.25</v>
      </c>
      <c r="K24" s="84">
        <f t="shared" ref="K24:L24" si="0">K8</f>
        <v>35.5</v>
      </c>
      <c r="L24" s="84">
        <f t="shared" si="0"/>
        <v>36.75</v>
      </c>
    </row>
    <row r="25" spans="1:12" x14ac:dyDescent="0.2">
      <c r="A25" s="99"/>
      <c r="B25" s="100"/>
      <c r="C25" s="102" t="s">
        <v>95</v>
      </c>
      <c r="D25" s="108">
        <f>D9</f>
        <v>42.5</v>
      </c>
      <c r="E25" s="100"/>
      <c r="F25" s="102" t="s">
        <v>63</v>
      </c>
      <c r="G25" s="101"/>
      <c r="J25" s="84">
        <f>J9</f>
        <v>42.5</v>
      </c>
      <c r="K25" s="84">
        <f t="shared" ref="K25:L25" si="1">K9</f>
        <v>44</v>
      </c>
      <c r="L25" s="84">
        <f t="shared" si="1"/>
        <v>45.5</v>
      </c>
    </row>
    <row r="26" spans="1:12" x14ac:dyDescent="0.2">
      <c r="A26" s="99"/>
      <c r="B26" s="100"/>
      <c r="C26" s="100"/>
      <c r="D26" s="103"/>
      <c r="E26" s="100"/>
      <c r="F26" s="100"/>
      <c r="G26" s="101"/>
      <c r="J26" s="71"/>
      <c r="K26" s="71"/>
      <c r="L26" s="71"/>
    </row>
    <row r="27" spans="1:12" x14ac:dyDescent="0.2">
      <c r="A27" s="99"/>
      <c r="B27" s="100" t="s">
        <v>36</v>
      </c>
      <c r="C27" s="100"/>
      <c r="D27" s="103"/>
      <c r="E27" s="100"/>
      <c r="F27" s="102" t="s">
        <v>92</v>
      </c>
      <c r="G27" s="101"/>
      <c r="J27" s="71"/>
      <c r="K27" s="71"/>
      <c r="L27" s="71"/>
    </row>
    <row r="28" spans="1:12" x14ac:dyDescent="0.2">
      <c r="A28" s="99"/>
      <c r="B28" s="100"/>
      <c r="C28" s="100" t="s">
        <v>15</v>
      </c>
      <c r="D28" s="108">
        <f>IF(AND(Timesheet!$B$8&gt;='Contract Rates'!$J$2,Timesheet!$B$8&lt;='Contract Rates'!$J$3),'Contract Rates'!J28,IF(AND(Timesheet!$B$8&gt;='Contract Rates'!$K$2,Timesheet!$B$8&lt;='Contract Rates'!$K$3),'Contract Rates'!K28,IF(AND(Timesheet!$B$8&gt;='Contract Rates'!$L$2,Timesheet!$B$8&lt;='Contract Rates'!$L$3),'Contract Rates'!L28,"Date error")))</f>
        <v>23</v>
      </c>
      <c r="E28" s="100"/>
      <c r="F28" s="100" t="s">
        <v>62</v>
      </c>
      <c r="G28" s="101"/>
      <c r="J28" s="84">
        <v>23</v>
      </c>
      <c r="K28" s="84">
        <v>23.75</v>
      </c>
      <c r="L28" s="84">
        <v>24.5</v>
      </c>
    </row>
    <row r="29" spans="1:12" x14ac:dyDescent="0.2">
      <c r="A29" s="99"/>
      <c r="B29" s="100"/>
      <c r="C29" s="100" t="s">
        <v>18</v>
      </c>
      <c r="D29" s="108">
        <f>IF(AND(Timesheet!$B$8&gt;='Contract Rates'!$J$2,Timesheet!$B$8&lt;='Contract Rates'!$J$3),'Contract Rates'!J29,IF(AND(Timesheet!$B$8&gt;='Contract Rates'!$K$2,Timesheet!$B$8&lt;='Contract Rates'!$K$3),'Contract Rates'!K29,IF(AND(Timesheet!$B$8&gt;='Contract Rates'!$L$2,Timesheet!$B$8&lt;='Contract Rates'!$L$3),'Contract Rates'!L29,"Date error")))</f>
        <v>55.75</v>
      </c>
      <c r="E29" s="100"/>
      <c r="F29" s="100" t="s">
        <v>63</v>
      </c>
      <c r="G29" s="101"/>
      <c r="J29" s="84">
        <v>55.75</v>
      </c>
      <c r="K29" s="84">
        <v>57.5</v>
      </c>
      <c r="L29" s="84">
        <v>59.25</v>
      </c>
    </row>
    <row r="30" spans="1:12" x14ac:dyDescent="0.2">
      <c r="A30" s="99"/>
      <c r="B30" s="100"/>
      <c r="C30" s="100"/>
      <c r="D30" s="103"/>
      <c r="E30" s="100"/>
      <c r="F30" s="100"/>
      <c r="G30" s="101"/>
      <c r="J30" s="71"/>
      <c r="K30" s="71"/>
      <c r="L30" s="71"/>
    </row>
    <row r="31" spans="1:12" x14ac:dyDescent="0.2">
      <c r="A31" s="99"/>
      <c r="B31" s="100" t="s">
        <v>37</v>
      </c>
      <c r="C31" s="100"/>
      <c r="D31" s="103"/>
      <c r="E31" s="100"/>
      <c r="F31" s="102" t="s">
        <v>72</v>
      </c>
      <c r="G31" s="101"/>
      <c r="J31" s="71"/>
      <c r="K31" s="71"/>
      <c r="L31" s="71"/>
    </row>
    <row r="32" spans="1:12" x14ac:dyDescent="0.2">
      <c r="A32" s="99"/>
      <c r="B32" s="100"/>
      <c r="C32" s="100" t="s">
        <v>38</v>
      </c>
      <c r="D32" s="108">
        <f>IF(AND(Timesheet!$B$8&gt;='Contract Rates'!$J$2,Timesheet!$B$8&lt;='Contract Rates'!$J$3),'Contract Rates'!J32,IF(AND(Timesheet!$B$8&gt;='Contract Rates'!$K$2,Timesheet!$B$8&lt;='Contract Rates'!$K$3),'Contract Rates'!K32,IF(AND(Timesheet!$B$8&gt;='Contract Rates'!$L$2,Timesheet!$B$8&lt;='Contract Rates'!$L$3),'Contract Rates'!L32,"Date error")))</f>
        <v>72.75</v>
      </c>
      <c r="E32" s="100"/>
      <c r="F32" s="100"/>
      <c r="G32" s="101"/>
      <c r="J32" s="84">
        <v>72.75</v>
      </c>
      <c r="K32" s="84">
        <v>75</v>
      </c>
      <c r="L32" s="84">
        <v>77.25</v>
      </c>
    </row>
    <row r="33" spans="1:12" x14ac:dyDescent="0.2">
      <c r="A33" s="99"/>
      <c r="B33" s="100"/>
      <c r="C33" s="104" t="s">
        <v>68</v>
      </c>
      <c r="D33" s="103"/>
      <c r="E33" s="100"/>
      <c r="F33" s="100"/>
      <c r="G33" s="101"/>
      <c r="J33" s="71"/>
      <c r="K33" s="71"/>
      <c r="L33" s="71"/>
    </row>
    <row r="34" spans="1:12" x14ac:dyDescent="0.2">
      <c r="A34" s="99"/>
      <c r="B34" s="100"/>
      <c r="C34" s="104" t="s">
        <v>69</v>
      </c>
      <c r="D34" s="103"/>
      <c r="E34" s="100"/>
      <c r="F34" s="100"/>
      <c r="G34" s="101"/>
      <c r="J34" s="71"/>
      <c r="K34" s="71"/>
      <c r="L34" s="71"/>
    </row>
    <row r="35" spans="1:12" x14ac:dyDescent="0.2">
      <c r="A35" s="99"/>
      <c r="B35" s="100"/>
      <c r="C35" s="100"/>
      <c r="D35" s="103"/>
      <c r="E35" s="100"/>
      <c r="F35" s="100"/>
      <c r="G35" s="101"/>
      <c r="J35" s="71"/>
      <c r="K35" s="71"/>
      <c r="L35" s="71"/>
    </row>
    <row r="36" spans="1:12" x14ac:dyDescent="0.2">
      <c r="A36" s="99"/>
      <c r="B36" s="104" t="s">
        <v>64</v>
      </c>
      <c r="C36" s="100"/>
      <c r="D36" s="103"/>
      <c r="E36" s="100"/>
      <c r="F36" s="102" t="s">
        <v>73</v>
      </c>
      <c r="G36" s="101"/>
      <c r="J36" s="71"/>
      <c r="K36" s="71"/>
      <c r="L36" s="71"/>
    </row>
    <row r="37" spans="1:12" x14ac:dyDescent="0.2">
      <c r="A37" s="99"/>
      <c r="B37" s="100"/>
      <c r="C37" s="100" t="s">
        <v>38</v>
      </c>
      <c r="D37" s="108">
        <f>IF(AND(Timesheet!$B$8&gt;='Contract Rates'!$J$2,Timesheet!$B$8&lt;='Contract Rates'!$J$3),'Contract Rates'!J37,IF(AND(Timesheet!$B$8&gt;='Contract Rates'!$K$2,Timesheet!$B$8&lt;='Contract Rates'!$K$3),'Contract Rates'!K37,IF(AND(Timesheet!$B$8&gt;='Contract Rates'!$L$2,Timesheet!$B$8&lt;='Contract Rates'!$L$3),'Contract Rates'!L37,"Date error")))</f>
        <v>42.5</v>
      </c>
      <c r="E37" s="100"/>
      <c r="F37" s="100"/>
      <c r="G37" s="101"/>
      <c r="J37" s="84">
        <v>42.5</v>
      </c>
      <c r="K37" s="84">
        <v>44</v>
      </c>
      <c r="L37" s="84">
        <v>45.5</v>
      </c>
    </row>
    <row r="38" spans="1:12" x14ac:dyDescent="0.2">
      <c r="A38" s="99"/>
      <c r="B38" s="100"/>
      <c r="C38" s="100"/>
      <c r="D38" s="103"/>
      <c r="E38" s="100"/>
      <c r="F38" s="100"/>
      <c r="G38" s="101"/>
      <c r="J38" s="85"/>
      <c r="K38" s="85"/>
      <c r="L38" s="85"/>
    </row>
    <row r="39" spans="1:12" x14ac:dyDescent="0.2">
      <c r="A39" s="99"/>
      <c r="B39" s="100" t="s">
        <v>0</v>
      </c>
      <c r="C39" s="100"/>
      <c r="D39" s="103"/>
      <c r="E39" s="100"/>
      <c r="F39" s="100"/>
      <c r="G39" s="101"/>
      <c r="J39" s="85"/>
      <c r="K39" s="85"/>
      <c r="L39" s="85"/>
    </row>
    <row r="40" spans="1:12" x14ac:dyDescent="0.2">
      <c r="A40" s="99"/>
      <c r="B40" s="100"/>
      <c r="C40" s="100" t="s">
        <v>59</v>
      </c>
      <c r="D40" s="103"/>
      <c r="E40" s="100"/>
      <c r="F40" s="100"/>
      <c r="G40" s="101"/>
      <c r="J40" s="85"/>
      <c r="K40" s="85"/>
      <c r="L40" s="85"/>
    </row>
    <row r="41" spans="1:12" x14ac:dyDescent="0.2">
      <c r="A41" s="105"/>
      <c r="B41" s="106"/>
      <c r="C41" s="106"/>
      <c r="D41" s="106"/>
      <c r="E41" s="106"/>
      <c r="F41" s="106"/>
      <c r="G41" s="107"/>
      <c r="J41" s="86"/>
      <c r="K41" s="86"/>
      <c r="L41" s="86"/>
    </row>
  </sheetData>
  <sheetProtection algorithmName="SHA-512" hashValue="xAF7I9lypSVEulHX5OfCLiPvPybUZJhebjjGUUEna4IJ+UWE5s8+vl0L0PrIKiOGD8DV+9kLCmxIwOeTde5f6w==" saltValue="IwIpq/3Yf2viEEA1WyVCJg==" spinCount="100000" sheet="1" objects="1" scenarios="1"/>
  <customSheetViews>
    <customSheetView guid="{4DA624B5-9423-9C4A-BFD6-ABBAF707F93F}" scale="125" showGridLines="0" showRowCol="0" zeroValues="0" view="pageLayout">
      <selection activeCell="D15" sqref="D15"/>
      <pageMargins left="0.75" right="0.75" top="1" bottom="1" header="0.5" footer="0.5"/>
      <pageSetup orientation="portrait" horizontalDpi="4294967292" verticalDpi="4294967292"/>
    </customSheetView>
  </customSheetViews>
  <mergeCells count="2">
    <mergeCell ref="A1:G1"/>
    <mergeCell ref="J1:L1"/>
  </mergeCells>
  <phoneticPr fontId="3"/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69</vt:i4>
      </vt:variant>
    </vt:vector>
  </HeadingPairs>
  <TitlesOfParts>
    <vt:vector size="72" baseType="lpstr">
      <vt:lpstr>Timesheet</vt:lpstr>
      <vt:lpstr>Instructions</vt:lpstr>
      <vt:lpstr>Contract Rates</vt:lpstr>
      <vt:lpstr>ARTIST</vt:lpstr>
      <vt:lpstr>COMPANY</vt:lpstr>
      <vt:lpstr>CTA_adjust</vt:lpstr>
      <vt:lpstr>Double_First</vt:lpstr>
      <vt:lpstr>Double_Subs</vt:lpstr>
      <vt:lpstr>EmergFreeRate</vt:lpstr>
      <vt:lpstr>F_Total</vt:lpstr>
      <vt:lpstr>FreeRate</vt:lpstr>
      <vt:lpstr>Friday_Codes</vt:lpstr>
      <vt:lpstr>Friday_Hours</vt:lpstr>
      <vt:lpstr>Friday_OTP_Hours</vt:lpstr>
      <vt:lpstr>Friday_Payments</vt:lpstr>
      <vt:lpstr>Gross_ESA</vt:lpstr>
      <vt:lpstr>Hours_worked</vt:lpstr>
      <vt:lpstr>M_Paid</vt:lpstr>
      <vt:lpstr>M_Total</vt:lpstr>
      <vt:lpstr>Monday_Codes</vt:lpstr>
      <vt:lpstr>Monday_Hours</vt:lpstr>
      <vt:lpstr>Monday_OTP_Hours</vt:lpstr>
      <vt:lpstr>Monday_Payments</vt:lpstr>
      <vt:lpstr>N_Total</vt:lpstr>
      <vt:lpstr>ON_first</vt:lpstr>
      <vt:lpstr>ON_subs</vt:lpstr>
      <vt:lpstr>OT_P_paid</vt:lpstr>
      <vt:lpstr>OT_P_Total</vt:lpstr>
      <vt:lpstr>PerfPerfRate_first</vt:lpstr>
      <vt:lpstr>PerfPerfRate_subs</vt:lpstr>
      <vt:lpstr>Timesheet!Print_Area</vt:lpstr>
      <vt:lpstr>Province</vt:lpstr>
      <vt:lpstr>PtoP_Paid</vt:lpstr>
      <vt:lpstr>PtoP_Total</vt:lpstr>
      <vt:lpstr>Reg_First</vt:lpstr>
      <vt:lpstr>Reg_Subs</vt:lpstr>
      <vt:lpstr>RehPerfRate_1</vt:lpstr>
      <vt:lpstr>RehPerfRate_2</vt:lpstr>
      <vt:lpstr>RehPerfRate_3</vt:lpstr>
      <vt:lpstr>RepPerfRate_1</vt:lpstr>
      <vt:lpstr>RepPerfRate_2</vt:lpstr>
      <vt:lpstr>RepPerfRate_3</vt:lpstr>
      <vt:lpstr>RtoP_Paid</vt:lpstr>
      <vt:lpstr>RtoP_Total</vt:lpstr>
      <vt:lpstr>Saturday_Codes</vt:lpstr>
      <vt:lpstr>Saturday_Hours</vt:lpstr>
      <vt:lpstr>Saturday_OTP_Hours</vt:lpstr>
      <vt:lpstr>Saturday_Payments</vt:lpstr>
      <vt:lpstr>Span_paid</vt:lpstr>
      <vt:lpstr>Span_Total</vt:lpstr>
      <vt:lpstr>SpanRate</vt:lpstr>
      <vt:lpstr>Sunday_Codes</vt:lpstr>
      <vt:lpstr>Sunday_Hours</vt:lpstr>
      <vt:lpstr>Sunday_OTP_Hours</vt:lpstr>
      <vt:lpstr>Sunday_Payments</vt:lpstr>
      <vt:lpstr>Thursday_Codes</vt:lpstr>
      <vt:lpstr>Thursday_Hours</vt:lpstr>
      <vt:lpstr>Thursday_OTP_Hours</vt:lpstr>
      <vt:lpstr>Thursday_Payments</vt:lpstr>
      <vt:lpstr>Travel_Total</vt:lpstr>
      <vt:lpstr>Tuesday_Codes</vt:lpstr>
      <vt:lpstr>Tuesday_Hours</vt:lpstr>
      <vt:lpstr>Tuesday_OTP_Hours</vt:lpstr>
      <vt:lpstr>Tuesday_Payments</vt:lpstr>
      <vt:lpstr>TYA</vt:lpstr>
      <vt:lpstr>Wednesday_Codes</vt:lpstr>
      <vt:lpstr>Wednesday_Hours</vt:lpstr>
      <vt:lpstr>Wednesday_OTP_Hours</vt:lpstr>
      <vt:lpstr>Wednesday_Payments</vt:lpstr>
      <vt:lpstr>Weekly_Total_OT</vt:lpstr>
      <vt:lpstr>Weekly_XS</vt:lpstr>
      <vt:lpstr>WeeklyFee</vt:lpstr>
    </vt:vector>
  </TitlesOfParts>
  <Manager/>
  <Company>CAEA - Stage Management Committee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Single Week CTA-ITA Timesheet</dc:title>
  <dc:subject/>
  <dc:creator>Allan Teichman</dc:creator>
  <cp:keywords/>
  <dc:description>Thanks to Alex Currie and engagers at PACT, as well as Equity staff, who helped make this milestone project possible.</dc:description>
  <cp:lastModifiedBy>Allan Teichman</cp:lastModifiedBy>
  <cp:lastPrinted>2020-09-24T17:46:59Z</cp:lastPrinted>
  <dcterms:created xsi:type="dcterms:W3CDTF">2007-01-10T04:56:17Z</dcterms:created>
  <dcterms:modified xsi:type="dcterms:W3CDTF">2026-07-18T13:16:23Z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r8>2024.6</vt:r8>
  </property>
</Properties>
</file>